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charts/chart17.xml" ContentType="application/vnd.openxmlformats-officedocument.drawingml.chart+xml"/>
  <Override PartName="/xl/charts/style12.xml" ContentType="application/vnd.ms-office.chartstyle+xml"/>
  <Override PartName="/xl/charts/colors12.xml" ContentType="application/vnd.ms-office.chartcolorstyle+xml"/>
  <Override PartName="/xl/charts/chart18.xml" ContentType="application/vnd.openxmlformats-officedocument.drawingml.chart+xml"/>
  <Override PartName="/xl/charts/style13.xml" ContentType="application/vnd.ms-office.chartstyle+xml"/>
  <Override PartName="/xl/charts/colors13.xml" ContentType="application/vnd.ms-office.chartcolorstyle+xml"/>
  <Override PartName="/xl/charts/chart19.xml" ContentType="application/vnd.openxmlformats-officedocument.drawingml.chart+xml"/>
  <Override PartName="/xl/charts/style14.xml" ContentType="application/vnd.ms-office.chartstyle+xml"/>
  <Override PartName="/xl/charts/colors14.xml" ContentType="application/vnd.ms-office.chartcolorstyle+xml"/>
  <Override PartName="/xl/charts/chart20.xml" ContentType="application/vnd.openxmlformats-officedocument.drawingml.chart+xml"/>
  <Override PartName="/xl/charts/style15.xml" ContentType="application/vnd.ms-office.chartstyle+xml"/>
  <Override PartName="/xl/charts/colors15.xml" ContentType="application/vnd.ms-office.chartcolorstyle+xml"/>
  <Override PartName="/xl/charts/chart21.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style17.xml" ContentType="application/vnd.ms-office.chartstyle+xml"/>
  <Override PartName="/xl/charts/colors17.xml" ContentType="application/vnd.ms-office.chartcolorstyle+xml"/>
  <Override PartName="/xl/charts/chart30.xml" ContentType="application/vnd.openxmlformats-officedocument.drawingml.chart+xml"/>
  <Override PartName="/xl/charts/style18.xml" ContentType="application/vnd.ms-office.chartstyle+xml"/>
  <Override PartName="/xl/charts/colors18.xml" ContentType="application/vnd.ms-office.chartcolorstyle+xml"/>
  <Override PartName="/xl/charts/chart31.xml" ContentType="application/vnd.openxmlformats-officedocument.drawingml.chart+xml"/>
  <Override PartName="/xl/charts/style19.xml" ContentType="application/vnd.ms-office.chartstyle+xml"/>
  <Override PartName="/xl/charts/colors19.xml" ContentType="application/vnd.ms-office.chartcolorstyle+xml"/>
  <Override PartName="/xl/charts/chart3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5.xml" ContentType="application/vnd.openxmlformats-officedocument.drawing+xml"/>
  <Override PartName="/xl/charts/chart33.xml" ContentType="application/vnd.openxmlformats-officedocument.drawingml.chart+xml"/>
  <Override PartName="/xl/charts/style21.xml" ContentType="application/vnd.ms-office.chartstyle+xml"/>
  <Override PartName="/xl/charts/colors21.xml" ContentType="application/vnd.ms-office.chartcolorstyle+xml"/>
  <Override PartName="/xl/charts/chart34.xml" ContentType="application/vnd.openxmlformats-officedocument.drawingml.chart+xml"/>
  <Override PartName="/xl/charts/style22.xml" ContentType="application/vnd.ms-office.chartstyle+xml"/>
  <Override PartName="/xl/charts/colors22.xml" ContentType="application/vnd.ms-office.chartcolorstyle+xml"/>
  <Override PartName="/xl/charts/chart35.xml" ContentType="application/vnd.openxmlformats-officedocument.drawingml.chart+xml"/>
  <Override PartName="/xl/charts/style23.xml" ContentType="application/vnd.ms-office.chartstyle+xml"/>
  <Override PartName="/xl/charts/colors23.xml" ContentType="application/vnd.ms-office.chartcolorstyle+xml"/>
  <Override PartName="/xl/charts/chart36.xml" ContentType="application/vnd.openxmlformats-officedocument.drawingml.chart+xml"/>
  <Override PartName="/xl/charts/style24.xml" ContentType="application/vnd.ms-office.chartstyle+xml"/>
  <Override PartName="/xl/charts/colors24.xml" ContentType="application/vnd.ms-office.chartcolorstyle+xml"/>
  <Override PartName="/xl/charts/chart37.xml" ContentType="application/vnd.openxmlformats-officedocument.drawingml.chart+xml"/>
  <Override PartName="/xl/charts/style25.xml" ContentType="application/vnd.ms-office.chartstyle+xml"/>
  <Override PartName="/xl/charts/colors25.xml" ContentType="application/vnd.ms-office.chartcolorstyle+xml"/>
  <Override PartName="/xl/charts/chart38.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showInkAnnotation="0" autoCompressPictures="0"/>
  <mc:AlternateContent xmlns:mc="http://schemas.openxmlformats.org/markup-compatibility/2006">
    <mc:Choice Requires="x15">
      <x15ac:absPath xmlns:x15ac="http://schemas.microsoft.com/office/spreadsheetml/2010/11/ac" url="/Users/williamgrindley/Desktop/December 2018 Spreadsheets/   FINAL Spreadsheets + Figures 19, 21, 22/"/>
    </mc:Choice>
  </mc:AlternateContent>
  <xr:revisionPtr revIDLastSave="0" documentId="13_ncr:1_{F287EE58-0EF2-0144-BAA5-99F88ED4F4EF}" xr6:coauthVersionLast="40" xr6:coauthVersionMax="40" xr10:uidLastSave="{00000000-0000-0000-0000-000000000000}"/>
  <bookViews>
    <workbookView xWindow="0" yWindow="460" windowWidth="47640" windowHeight="22320" tabRatio="703" activeTab="10" xr2:uid="{00000000-000D-0000-FFFF-FFFF00000000}"/>
  </bookViews>
  <sheets>
    <sheet name="RT Intra-Regional Travel" sheetId="15" r:id="rId1"/>
    <sheet name="RT &lt;50miles MTC-SCAG" sheetId="26" r:id="rId2"/>
    <sheet name="Sheet" sheetId="13" state="hidden" r:id="rId3"/>
    <sheet name="Sheet1" sheetId="20" state="hidden" r:id="rId4"/>
    <sheet name="Sheet 3" sheetId="8" state="hidden" r:id="rId5"/>
    <sheet name="Sheet 5" sheetId="5" state="hidden" r:id="rId6"/>
    <sheet name="Sheet 6" sheetId="17" state="hidden" r:id="rId7"/>
    <sheet name="Sheet 4" sheetId="14" state="hidden" r:id="rId8"/>
    <sheet name="RT Travel Adjacent Regions" sheetId="16" r:id="rId9"/>
    <sheet name="RT Travel Non-Adjacent Regions" sheetId="18" r:id="rId10"/>
    <sheet name="RT Travel Other Regions" sheetId="25" r:id="rId11"/>
  </sheets>
  <calcPr calcId="19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10" i="16" l="1"/>
  <c r="B11" i="16"/>
  <c r="B18" i="16"/>
  <c r="B19" i="16"/>
  <c r="B20" i="16"/>
  <c r="B21" i="16"/>
  <c r="B22" i="16"/>
  <c r="B29" i="16"/>
  <c r="B30" i="16"/>
  <c r="B31" i="16"/>
  <c r="B50" i="16"/>
  <c r="B52" i="16"/>
  <c r="B90" i="16"/>
  <c r="B8" i="16"/>
  <c r="B32" i="16"/>
  <c r="B33" i="16"/>
  <c r="B51" i="16"/>
  <c r="B53" i="16"/>
  <c r="F52" i="16"/>
  <c r="AM51" i="16"/>
  <c r="AN51" i="16"/>
  <c r="J51" i="16"/>
  <c r="F51" i="16"/>
  <c r="AM113" i="16"/>
  <c r="AN113" i="16"/>
  <c r="K116" i="16"/>
  <c r="K113" i="16"/>
  <c r="K148" i="16"/>
  <c r="AM112" i="16"/>
  <c r="AN112" i="16"/>
  <c r="AN148" i="16"/>
  <c r="AK148" i="16"/>
  <c r="M148" i="16"/>
  <c r="Q148" i="16"/>
  <c r="R148" i="16"/>
  <c r="S148" i="16"/>
  <c r="AL148" i="16"/>
  <c r="AC148" i="16"/>
  <c r="F148" i="16"/>
  <c r="L116" i="16"/>
  <c r="L115" i="16"/>
  <c r="L114" i="16"/>
  <c r="L113" i="16"/>
  <c r="J113" i="16"/>
  <c r="J116" i="16"/>
  <c r="J112" i="16"/>
  <c r="BG192" i="16"/>
  <c r="BJ192" i="16"/>
  <c r="BM192" i="16"/>
  <c r="BP192" i="16"/>
  <c r="BS192" i="16"/>
  <c r="BF197" i="16"/>
  <c r="BH192" i="16"/>
  <c r="BG194" i="16"/>
  <c r="BK192" i="16"/>
  <c r="BJ194" i="16"/>
  <c r="BN192" i="16"/>
  <c r="BM194" i="16"/>
  <c r="BQ192" i="16"/>
  <c r="BP194" i="16"/>
  <c r="BT192" i="16"/>
  <c r="BS194" i="16"/>
  <c r="BF195" i="16"/>
  <c r="BF201" i="16"/>
  <c r="BF198" i="16"/>
  <c r="BF199" i="16"/>
  <c r="L8" i="18"/>
  <c r="B91" i="16"/>
  <c r="B92" i="16"/>
  <c r="B93" i="16"/>
  <c r="B94" i="16"/>
  <c r="B101" i="16"/>
  <c r="B102" i="16"/>
  <c r="B103" i="16"/>
  <c r="B104" i="16"/>
  <c r="B105" i="16"/>
  <c r="B126" i="16"/>
  <c r="B136" i="16"/>
  <c r="B146" i="16"/>
  <c r="B147" i="16"/>
  <c r="B149" i="16"/>
  <c r="B150" i="16"/>
  <c r="B157" i="16"/>
  <c r="B158" i="16"/>
  <c r="B54" i="16"/>
  <c r="B71" i="16"/>
  <c r="B72" i="16"/>
  <c r="B73" i="16"/>
  <c r="B74" i="16"/>
  <c r="B75" i="16"/>
  <c r="B112" i="16"/>
  <c r="B113" i="16"/>
  <c r="B114" i="16"/>
  <c r="B115" i="16"/>
  <c r="B116" i="16"/>
  <c r="B123" i="16"/>
  <c r="B124" i="16"/>
  <c r="B125" i="16"/>
  <c r="B127" i="16"/>
  <c r="B134" i="16"/>
  <c r="B135" i="16"/>
  <c r="B137" i="16"/>
  <c r="B138" i="16"/>
  <c r="B139" i="16"/>
  <c r="B148" i="16"/>
  <c r="B169" i="16"/>
  <c r="AN133" i="18"/>
  <c r="AN130" i="18"/>
  <c r="E148" i="16"/>
  <c r="AN114" i="18"/>
  <c r="AN113" i="18"/>
  <c r="AN112" i="18"/>
  <c r="AN111" i="18"/>
  <c r="AN122" i="18"/>
  <c r="F114" i="18"/>
  <c r="F113" i="18"/>
  <c r="F112" i="18"/>
  <c r="F111" i="18"/>
  <c r="AN174" i="16"/>
  <c r="N174" i="16"/>
  <c r="N171" i="16"/>
  <c r="N170" i="16"/>
  <c r="L138" i="16"/>
  <c r="AK174" i="16"/>
  <c r="AD174" i="16"/>
  <c r="X174" i="16"/>
  <c r="Y174" i="16"/>
  <c r="Z174" i="16"/>
  <c r="Q174" i="16"/>
  <c r="R174" i="16"/>
  <c r="S174" i="16"/>
  <c r="AL174" i="16"/>
  <c r="F174" i="16"/>
  <c r="G174" i="16"/>
  <c r="E174" i="16"/>
  <c r="H174" i="16"/>
  <c r="I174" i="16"/>
  <c r="AN173" i="16"/>
  <c r="AK173" i="16"/>
  <c r="AD173" i="16"/>
  <c r="X173" i="16"/>
  <c r="Y173" i="16"/>
  <c r="Z173" i="16"/>
  <c r="Q173" i="16"/>
  <c r="R173" i="16"/>
  <c r="S173" i="16"/>
  <c r="E173" i="16"/>
  <c r="H173" i="16"/>
  <c r="I173" i="16"/>
  <c r="F173" i="16"/>
  <c r="G173" i="16"/>
  <c r="AN171" i="16"/>
  <c r="AK171" i="16"/>
  <c r="X171" i="16"/>
  <c r="AE171" i="16"/>
  <c r="AF171" i="16"/>
  <c r="AG171" i="16"/>
  <c r="Q171" i="16"/>
  <c r="R171" i="16"/>
  <c r="S171" i="16"/>
  <c r="F171" i="16"/>
  <c r="G171" i="16"/>
  <c r="E171" i="16"/>
  <c r="H171" i="16"/>
  <c r="I171" i="16"/>
  <c r="AN170" i="16"/>
  <c r="AK170" i="16"/>
  <c r="AC170" i="16"/>
  <c r="AD170" i="16"/>
  <c r="X170" i="16"/>
  <c r="AE170" i="16"/>
  <c r="AF170" i="16"/>
  <c r="AG170" i="16"/>
  <c r="Y170" i="16"/>
  <c r="Z170" i="16"/>
  <c r="Q170" i="16"/>
  <c r="R170" i="16"/>
  <c r="S170" i="16"/>
  <c r="F170" i="16"/>
  <c r="G170" i="16"/>
  <c r="E170" i="16"/>
  <c r="H170" i="16"/>
  <c r="I170" i="16"/>
  <c r="O157" i="16"/>
  <c r="Q157" i="16"/>
  <c r="K158" i="16"/>
  <c r="Q158" i="16"/>
  <c r="Q159" i="16"/>
  <c r="Q160" i="16"/>
  <c r="Q161" i="16"/>
  <c r="AL170" i="16"/>
  <c r="AL171" i="16"/>
  <c r="AV171" i="16"/>
  <c r="AL173" i="16"/>
  <c r="Y171" i="16"/>
  <c r="Z171" i="16"/>
  <c r="AA171" i="16"/>
  <c r="AE173" i="16"/>
  <c r="AF173" i="16"/>
  <c r="AG173" i="16"/>
  <c r="AE174" i="16"/>
  <c r="AF174" i="16"/>
  <c r="AG174" i="16"/>
  <c r="AH174" i="16"/>
  <c r="AO174" i="16"/>
  <c r="AB174" i="16"/>
  <c r="AA174" i="16"/>
  <c r="AH173" i="16"/>
  <c r="AO173" i="16"/>
  <c r="AB173" i="16"/>
  <c r="AA173" i="16"/>
  <c r="AB170" i="16"/>
  <c r="AA170" i="16"/>
  <c r="AO170" i="16"/>
  <c r="AH171" i="16"/>
  <c r="AO171" i="16"/>
  <c r="AB171" i="16"/>
  <c r="AH170" i="16"/>
  <c r="AN91" i="18"/>
  <c r="AT91" i="18"/>
  <c r="AK91" i="18"/>
  <c r="AD91" i="18"/>
  <c r="X91" i="18"/>
  <c r="Y91" i="18"/>
  <c r="Z91" i="18"/>
  <c r="K91" i="18"/>
  <c r="Q91" i="18"/>
  <c r="R91" i="18"/>
  <c r="S91" i="18"/>
  <c r="F91" i="18"/>
  <c r="G91" i="18"/>
  <c r="F90" i="18"/>
  <c r="E91" i="18"/>
  <c r="H91" i="18"/>
  <c r="AL91" i="18"/>
  <c r="AV91" i="18"/>
  <c r="AU91" i="18"/>
  <c r="AS91" i="18"/>
  <c r="AO91" i="18"/>
  <c r="AA91" i="18"/>
  <c r="AE91" i="18"/>
  <c r="AF91" i="18"/>
  <c r="AG91" i="18"/>
  <c r="I91" i="18"/>
  <c r="AB91" i="18"/>
  <c r="AR91" i="18"/>
  <c r="P42" i="25"/>
  <c r="AH91" i="18"/>
  <c r="AK172" i="16"/>
  <c r="F124" i="18"/>
  <c r="L125" i="16"/>
  <c r="K124" i="16"/>
  <c r="K125" i="16"/>
  <c r="K126" i="16"/>
  <c r="K127" i="16"/>
  <c r="K123" i="16"/>
  <c r="K146" i="16"/>
  <c r="L90" i="16"/>
  <c r="AC17" i="26"/>
  <c r="AC8" i="26"/>
  <c r="BE8" i="25"/>
  <c r="BD110" i="18"/>
  <c r="BD9" i="18"/>
  <c r="BD8" i="18"/>
  <c r="BE9" i="16"/>
  <c r="BE7" i="16"/>
  <c r="AC100" i="15"/>
  <c r="AC103" i="15"/>
  <c r="AC99" i="15"/>
  <c r="AC10" i="15"/>
  <c r="AC8" i="15"/>
  <c r="AI66" i="25"/>
  <c r="AJ66" i="25"/>
  <c r="AK66" i="25"/>
  <c r="AL66" i="25"/>
  <c r="AI47" i="25"/>
  <c r="AJ47" i="25"/>
  <c r="AK47" i="25"/>
  <c r="AL47" i="25"/>
  <c r="AI37" i="25"/>
  <c r="AJ37" i="25"/>
  <c r="AK37" i="25"/>
  <c r="AL37" i="25"/>
  <c r="AM70" i="25"/>
  <c r="AN8" i="25"/>
  <c r="AN72" i="25"/>
  <c r="AN71" i="25"/>
  <c r="AN68" i="25"/>
  <c r="AN70" i="25"/>
  <c r="AN69" i="25"/>
  <c r="AN51" i="25"/>
  <c r="AN49" i="25"/>
  <c r="AN50" i="25"/>
  <c r="AN52" i="25"/>
  <c r="AN42" i="25"/>
  <c r="AN41" i="25"/>
  <c r="AN40" i="25"/>
  <c r="AN39" i="25"/>
  <c r="AN32" i="25"/>
  <c r="AN31" i="25"/>
  <c r="AN30" i="25"/>
  <c r="AN29" i="25"/>
  <c r="AN22" i="25"/>
  <c r="AN21" i="25"/>
  <c r="AN20" i="25"/>
  <c r="AN19" i="25"/>
  <c r="AN12" i="25"/>
  <c r="AN11" i="25"/>
  <c r="AN10" i="25"/>
  <c r="AN9" i="25"/>
  <c r="AN187" i="16"/>
  <c r="AN186" i="16"/>
  <c r="AN185" i="16"/>
  <c r="AN184" i="16"/>
  <c r="AN183" i="16"/>
  <c r="AN169" i="16"/>
  <c r="AN168" i="16"/>
  <c r="AN172" i="16"/>
  <c r="AN160" i="16"/>
  <c r="AN158" i="16"/>
  <c r="AM161" i="16"/>
  <c r="AN161" i="16"/>
  <c r="AM157" i="16"/>
  <c r="AN157" i="16"/>
  <c r="AN159" i="16"/>
  <c r="AN150" i="16"/>
  <c r="AN149" i="16"/>
  <c r="AN146" i="16"/>
  <c r="AM147" i="16"/>
  <c r="AN147" i="16"/>
  <c r="AN137" i="16"/>
  <c r="AN139" i="16"/>
  <c r="AN135" i="16"/>
  <c r="AM138" i="16"/>
  <c r="AN138" i="16"/>
  <c r="AM136" i="16"/>
  <c r="AN136" i="16"/>
  <c r="AM134" i="16"/>
  <c r="AN134" i="16"/>
  <c r="AN123" i="16"/>
  <c r="AM126" i="16"/>
  <c r="AN126" i="16"/>
  <c r="AM125" i="16"/>
  <c r="AN125" i="16"/>
  <c r="AM124" i="16"/>
  <c r="AN124" i="16"/>
  <c r="AN127" i="16"/>
  <c r="AN116" i="16"/>
  <c r="AN115" i="16"/>
  <c r="AN114" i="16"/>
  <c r="AK115" i="16"/>
  <c r="AK114" i="16"/>
  <c r="AN104" i="16"/>
  <c r="AN103" i="16"/>
  <c r="AN105" i="16"/>
  <c r="AM102" i="16"/>
  <c r="AN102" i="16"/>
  <c r="AM101" i="16"/>
  <c r="AN101" i="16"/>
  <c r="AN90" i="16"/>
  <c r="AM93" i="16"/>
  <c r="AN93" i="16"/>
  <c r="AM92" i="16"/>
  <c r="AN92" i="16"/>
  <c r="AM91" i="16"/>
  <c r="AN91" i="16"/>
  <c r="AN94" i="16"/>
  <c r="AM54" i="16"/>
  <c r="AN54" i="16"/>
  <c r="AM53" i="16"/>
  <c r="AN53" i="16"/>
  <c r="AM52" i="16"/>
  <c r="AN52" i="16"/>
  <c r="AM50" i="16"/>
  <c r="AN50" i="16"/>
  <c r="AN31" i="16"/>
  <c r="AM33" i="16"/>
  <c r="AN33" i="16"/>
  <c r="AM32" i="16"/>
  <c r="AN32" i="16"/>
  <c r="AM30" i="16"/>
  <c r="AN30" i="16"/>
  <c r="AM29" i="16"/>
  <c r="AN29" i="16"/>
  <c r="AN20" i="16"/>
  <c r="AM22" i="16"/>
  <c r="AN22" i="16"/>
  <c r="AM21" i="16"/>
  <c r="AN21" i="16"/>
  <c r="AM19" i="16"/>
  <c r="AN19" i="16"/>
  <c r="AN18" i="16"/>
  <c r="AN9" i="16"/>
  <c r="AN8" i="16"/>
  <c r="AN7" i="16"/>
  <c r="AM11" i="16"/>
  <c r="AN11" i="16"/>
  <c r="AM10" i="16"/>
  <c r="AN10" i="16"/>
  <c r="AN73" i="16"/>
  <c r="AM74" i="16"/>
  <c r="AN74" i="16"/>
  <c r="AM71" i="16"/>
  <c r="AN71" i="16"/>
  <c r="AN75" i="16"/>
  <c r="AN72" i="16"/>
  <c r="AM66" i="25"/>
  <c r="AN66" i="25"/>
  <c r="AO66" i="25"/>
  <c r="AM47" i="25"/>
  <c r="AN47" i="25"/>
  <c r="AO47" i="25"/>
  <c r="AM37" i="25"/>
  <c r="AN37" i="25"/>
  <c r="AO37" i="25"/>
  <c r="E48" i="16"/>
  <c r="F48" i="16"/>
  <c r="G48" i="16"/>
  <c r="H48" i="16"/>
  <c r="I48" i="16"/>
  <c r="J48" i="16"/>
  <c r="K48" i="16"/>
  <c r="L48" i="16"/>
  <c r="M48" i="16"/>
  <c r="N48" i="16"/>
  <c r="O48" i="16"/>
  <c r="P48" i="16"/>
  <c r="Q48" i="16"/>
  <c r="R48" i="16"/>
  <c r="S48" i="16"/>
  <c r="T48" i="16"/>
  <c r="U48" i="16"/>
  <c r="V48" i="16"/>
  <c r="W48" i="16"/>
  <c r="X48" i="16"/>
  <c r="Y48" i="16"/>
  <c r="Z48" i="16"/>
  <c r="AA48" i="16"/>
  <c r="AB48" i="16"/>
  <c r="AC48" i="16"/>
  <c r="AD48" i="16"/>
  <c r="AE48" i="16"/>
  <c r="AF48" i="16"/>
  <c r="AG48" i="16"/>
  <c r="AH48" i="16"/>
  <c r="AI48" i="16"/>
  <c r="AJ48" i="16"/>
  <c r="AK48" i="16"/>
  <c r="AL48" i="16"/>
  <c r="AM48" i="16"/>
  <c r="AN48" i="16"/>
  <c r="AO48" i="16"/>
  <c r="L139" i="16"/>
  <c r="L136" i="16"/>
  <c r="AT150" i="16"/>
  <c r="AT187" i="16"/>
  <c r="AT186" i="16"/>
  <c r="AT185" i="16"/>
  <c r="AT184" i="16"/>
  <c r="AT183" i="16"/>
  <c r="AT174" i="16"/>
  <c r="AT173" i="16"/>
  <c r="AT172" i="16"/>
  <c r="AT171" i="16"/>
  <c r="AT170" i="16"/>
  <c r="AT169" i="16"/>
  <c r="AT168" i="16"/>
  <c r="AT161" i="16"/>
  <c r="AT160" i="16"/>
  <c r="AT159" i="16"/>
  <c r="AT158" i="16"/>
  <c r="AT157" i="16"/>
  <c r="AT149" i="16"/>
  <c r="AT148" i="16"/>
  <c r="AT147" i="16"/>
  <c r="AT146" i="16"/>
  <c r="AT139" i="16"/>
  <c r="AT138" i="16"/>
  <c r="AT137" i="16"/>
  <c r="AT136" i="16"/>
  <c r="AT135" i="16"/>
  <c r="AT134" i="16"/>
  <c r="AN131" i="18"/>
  <c r="AN123" i="18"/>
  <c r="AN121" i="18"/>
  <c r="AM124" i="18"/>
  <c r="AN124" i="18"/>
  <c r="AN103" i="18"/>
  <c r="AN102" i="18"/>
  <c r="AN99" i="18"/>
  <c r="AN92" i="18"/>
  <c r="AN90" i="18"/>
  <c r="AN88" i="18"/>
  <c r="AM87" i="18"/>
  <c r="AN87" i="18"/>
  <c r="AN68" i="18"/>
  <c r="AN66" i="18"/>
  <c r="AM65" i="18"/>
  <c r="AN65" i="18"/>
  <c r="AN48" i="18"/>
  <c r="AM47" i="18"/>
  <c r="AN47" i="18"/>
  <c r="AM44" i="18"/>
  <c r="AN44" i="18"/>
  <c r="AM36" i="18"/>
  <c r="AN36" i="18"/>
  <c r="AM35" i="18"/>
  <c r="AN35" i="18"/>
  <c r="AM34" i="18"/>
  <c r="AN34" i="18"/>
  <c r="AM33" i="18"/>
  <c r="AN33" i="18"/>
  <c r="AM31" i="18"/>
  <c r="AN31" i="18"/>
  <c r="AN20" i="18"/>
  <c r="AN19" i="18"/>
  <c r="AN11" i="18"/>
  <c r="AM12" i="18"/>
  <c r="AN12" i="18"/>
  <c r="AN10" i="18"/>
  <c r="AM9" i="18"/>
  <c r="AN9" i="18"/>
  <c r="AM8" i="18"/>
  <c r="AN8" i="18"/>
  <c r="AK123" i="18"/>
  <c r="AN134" i="18"/>
  <c r="AN132" i="18"/>
  <c r="AN110" i="18"/>
  <c r="AN100" i="18"/>
  <c r="AN101" i="18"/>
  <c r="AN89" i="18"/>
  <c r="F92" i="18"/>
  <c r="F89" i="18"/>
  <c r="F88" i="18"/>
  <c r="F87" i="18"/>
  <c r="AN69" i="18"/>
  <c r="AN67" i="18"/>
  <c r="AN45" i="18"/>
  <c r="AN46" i="18"/>
  <c r="AN32" i="18"/>
  <c r="AN23" i="18"/>
  <c r="L19" i="18"/>
  <c r="AN22" i="18"/>
  <c r="AN21" i="18"/>
  <c r="AC124" i="18"/>
  <c r="AC123" i="18"/>
  <c r="AC121" i="18"/>
  <c r="AC114" i="18"/>
  <c r="AC112" i="18"/>
  <c r="L112" i="18"/>
  <c r="L111" i="18"/>
  <c r="L110" i="18"/>
  <c r="L69" i="18"/>
  <c r="AD46" i="18"/>
  <c r="L48" i="18"/>
  <c r="F134" i="18"/>
  <c r="F133" i="18"/>
  <c r="F130" i="18"/>
  <c r="F132" i="18"/>
  <c r="F131" i="18"/>
  <c r="F121" i="18"/>
  <c r="F123" i="18"/>
  <c r="F122" i="18"/>
  <c r="G112" i="18"/>
  <c r="G113" i="18"/>
  <c r="F110" i="18"/>
  <c r="F102" i="18"/>
  <c r="F103" i="18"/>
  <c r="F99" i="18"/>
  <c r="F100" i="18"/>
  <c r="F33" i="18"/>
  <c r="F34" i="18"/>
  <c r="F31" i="18"/>
  <c r="F22" i="18"/>
  <c r="F21" i="18"/>
  <c r="F19" i="18"/>
  <c r="F20" i="18"/>
  <c r="F11" i="18"/>
  <c r="F10" i="18"/>
  <c r="F12" i="18"/>
  <c r="F8" i="18"/>
  <c r="L10" i="18"/>
  <c r="AD52" i="25"/>
  <c r="AD49" i="25"/>
  <c r="AD41" i="25"/>
  <c r="AD31" i="25"/>
  <c r="AD8" i="25"/>
  <c r="L68" i="25"/>
  <c r="F71" i="25"/>
  <c r="F72" i="25"/>
  <c r="F68" i="25"/>
  <c r="F69" i="25"/>
  <c r="F49" i="25"/>
  <c r="F42" i="25"/>
  <c r="F40" i="25"/>
  <c r="F41" i="25"/>
  <c r="F32" i="25"/>
  <c r="F30" i="25"/>
  <c r="F31" i="25"/>
  <c r="F8" i="25"/>
  <c r="K150" i="16"/>
  <c r="K149" i="16"/>
  <c r="F92" i="16"/>
  <c r="F75" i="16"/>
  <c r="F74" i="16"/>
  <c r="F73" i="16"/>
  <c r="F54" i="16"/>
  <c r="F53" i="16"/>
  <c r="F33" i="16"/>
  <c r="F32" i="16"/>
  <c r="F29" i="16"/>
  <c r="BE10" i="16"/>
  <c r="F9" i="16"/>
  <c r="AU171" i="16"/>
  <c r="AR171" i="16"/>
  <c r="AS171" i="16"/>
  <c r="A18" i="26"/>
  <c r="A19" i="26"/>
  <c r="A20" i="26"/>
  <c r="A21" i="26"/>
  <c r="A22" i="26"/>
  <c r="A35" i="26"/>
  <c r="A36" i="26"/>
  <c r="A37" i="26"/>
  <c r="A38" i="26"/>
  <c r="A39" i="26"/>
  <c r="A9" i="26"/>
  <c r="A9" i="25"/>
  <c r="A10" i="25"/>
  <c r="A11" i="25"/>
  <c r="A12" i="25"/>
  <c r="A19" i="25"/>
  <c r="A20" i="25"/>
  <c r="A21" i="25"/>
  <c r="A22" i="25"/>
  <c r="A29" i="25"/>
  <c r="A30" i="25"/>
  <c r="A31" i="25"/>
  <c r="A32" i="25"/>
  <c r="A39" i="25"/>
  <c r="A40" i="25"/>
  <c r="A41" i="25"/>
  <c r="A42" i="25"/>
  <c r="A49" i="25"/>
  <c r="A50" i="25"/>
  <c r="A51" i="25"/>
  <c r="A52" i="25"/>
  <c r="A68" i="25"/>
  <c r="A69" i="25"/>
  <c r="A70" i="25"/>
  <c r="A71" i="25"/>
  <c r="A72" i="25"/>
  <c r="A9" i="15"/>
  <c r="A10" i="15"/>
  <c r="A34" i="15"/>
  <c r="A35" i="15"/>
  <c r="A36" i="15"/>
  <c r="A37" i="15"/>
  <c r="A38" i="15"/>
  <c r="A39" i="15"/>
  <c r="A67" i="15"/>
  <c r="A68" i="15"/>
  <c r="A69" i="15"/>
  <c r="A70" i="15"/>
  <c r="A71" i="15"/>
  <c r="A72" i="15"/>
  <c r="A101" i="15"/>
  <c r="A102" i="15"/>
  <c r="A8" i="18"/>
  <c r="A9" i="18"/>
  <c r="A10" i="18"/>
  <c r="A11" i="18"/>
  <c r="A12" i="18"/>
  <c r="A19" i="18"/>
  <c r="A20" i="18"/>
  <c r="AT99" i="18"/>
  <c r="AK99" i="18"/>
  <c r="AT103" i="18"/>
  <c r="AK103" i="18"/>
  <c r="AT102" i="18"/>
  <c r="AK102" i="18"/>
  <c r="AT101" i="18"/>
  <c r="AK101" i="18"/>
  <c r="AT100" i="18"/>
  <c r="AK100" i="18"/>
  <c r="AD99" i="18"/>
  <c r="AD103" i="18"/>
  <c r="AD102" i="18"/>
  <c r="AD101" i="18"/>
  <c r="AD100" i="18"/>
  <c r="E100" i="18"/>
  <c r="H100" i="18"/>
  <c r="E101" i="18"/>
  <c r="H101" i="18"/>
  <c r="E102" i="18"/>
  <c r="H102" i="18"/>
  <c r="E103" i="18"/>
  <c r="H103" i="18"/>
  <c r="E99" i="18"/>
  <c r="H99" i="18"/>
  <c r="G103" i="18"/>
  <c r="G102" i="18"/>
  <c r="F101" i="18"/>
  <c r="G101" i="18"/>
  <c r="G100" i="18"/>
  <c r="G99" i="18"/>
  <c r="X100" i="18"/>
  <c r="Y100" i="18"/>
  <c r="Z100" i="18"/>
  <c r="X101" i="18"/>
  <c r="Y101" i="18"/>
  <c r="Z101" i="18"/>
  <c r="X102" i="18"/>
  <c r="AE102" i="18"/>
  <c r="AF102" i="18"/>
  <c r="AG102" i="18"/>
  <c r="X103" i="18"/>
  <c r="AE103" i="18"/>
  <c r="AF103" i="18"/>
  <c r="AG103" i="18"/>
  <c r="X99" i="18"/>
  <c r="Y99" i="18"/>
  <c r="Z99" i="18"/>
  <c r="Q100" i="18"/>
  <c r="R100" i="18"/>
  <c r="S100" i="18"/>
  <c r="Q101" i="18"/>
  <c r="R101" i="18"/>
  <c r="S101" i="18"/>
  <c r="Q102" i="18"/>
  <c r="R102" i="18"/>
  <c r="S102" i="18"/>
  <c r="Q103" i="18"/>
  <c r="R103" i="18"/>
  <c r="S103" i="18"/>
  <c r="Q99" i="18"/>
  <c r="R99" i="18"/>
  <c r="S99" i="18"/>
  <c r="U97" i="18"/>
  <c r="V97" i="18"/>
  <c r="W97" i="18"/>
  <c r="X97" i="18"/>
  <c r="Y97" i="18"/>
  <c r="Z97" i="18"/>
  <c r="AA97" i="18"/>
  <c r="AB97" i="18"/>
  <c r="AC97" i="18"/>
  <c r="AD97" i="18"/>
  <c r="AE97" i="18"/>
  <c r="AF97" i="18"/>
  <c r="AG97" i="18"/>
  <c r="AH97" i="18"/>
  <c r="G97" i="18"/>
  <c r="H97" i="18"/>
  <c r="I97" i="18"/>
  <c r="J97" i="18"/>
  <c r="K97" i="18"/>
  <c r="L97" i="18"/>
  <c r="M97" i="18"/>
  <c r="N97" i="18"/>
  <c r="O97" i="18"/>
  <c r="P97" i="18"/>
  <c r="Q97" i="18"/>
  <c r="AI97" i="18"/>
  <c r="AJ97" i="18"/>
  <c r="AK97" i="18"/>
  <c r="AL97" i="18"/>
  <c r="AM97" i="18"/>
  <c r="AN97" i="18"/>
  <c r="AO97" i="18"/>
  <c r="AU102" i="18"/>
  <c r="AU101" i="18"/>
  <c r="AU100" i="18"/>
  <c r="AU99" i="18"/>
  <c r="AU103" i="18"/>
  <c r="AV102" i="18"/>
  <c r="AL102" i="18"/>
  <c r="AV100" i="18"/>
  <c r="Y102" i="18"/>
  <c r="Z102" i="18"/>
  <c r="AA102" i="18"/>
  <c r="I102" i="18"/>
  <c r="AH102" i="18"/>
  <c r="AR102" i="18"/>
  <c r="AE101" i="18"/>
  <c r="AF101" i="18"/>
  <c r="AG101" i="18"/>
  <c r="AV99" i="18"/>
  <c r="AV103" i="18"/>
  <c r="AS101" i="18"/>
  <c r="AO101" i="18"/>
  <c r="I101" i="18"/>
  <c r="AB101" i="18"/>
  <c r="AR101" i="18"/>
  <c r="AL103" i="18"/>
  <c r="AL99" i="18"/>
  <c r="AS99" i="18"/>
  <c r="AO99" i="18"/>
  <c r="AS100" i="18"/>
  <c r="AO100" i="18"/>
  <c r="I99" i="18"/>
  <c r="AB99" i="18"/>
  <c r="AR99" i="18"/>
  <c r="I100" i="18"/>
  <c r="AB100" i="18"/>
  <c r="AR100" i="18"/>
  <c r="AE100" i="18"/>
  <c r="AF100" i="18"/>
  <c r="AG100" i="18"/>
  <c r="AE99" i="18"/>
  <c r="AF99" i="18"/>
  <c r="AG99" i="18"/>
  <c r="AV101" i="18"/>
  <c r="AL101" i="18"/>
  <c r="Y103" i="18"/>
  <c r="Z103" i="18"/>
  <c r="AA103" i="18"/>
  <c r="I103" i="18"/>
  <c r="AH103" i="18"/>
  <c r="AR103" i="18"/>
  <c r="AL100" i="18"/>
  <c r="AA99" i="18"/>
  <c r="AA101" i="18"/>
  <c r="AA100" i="18"/>
  <c r="A8" i="16"/>
  <c r="A9" i="16"/>
  <c r="A10" i="16"/>
  <c r="A11" i="16"/>
  <c r="A18" i="16"/>
  <c r="A19" i="16"/>
  <c r="A20" i="16"/>
  <c r="A21" i="16"/>
  <c r="AT116" i="16"/>
  <c r="AK116" i="16"/>
  <c r="AD116" i="16"/>
  <c r="X116" i="16"/>
  <c r="Q116" i="16"/>
  <c r="R116" i="16"/>
  <c r="S116" i="16"/>
  <c r="F116" i="16"/>
  <c r="G116" i="16"/>
  <c r="E116" i="16"/>
  <c r="H116" i="16"/>
  <c r="AT115" i="16"/>
  <c r="AC115" i="16"/>
  <c r="AD115" i="16"/>
  <c r="X115" i="16"/>
  <c r="F115" i="16"/>
  <c r="G115" i="16"/>
  <c r="E115" i="16"/>
  <c r="H115" i="16"/>
  <c r="AR115" i="16"/>
  <c r="AT114" i="16"/>
  <c r="AC114" i="16"/>
  <c r="AD114" i="16"/>
  <c r="X114" i="16"/>
  <c r="F114" i="16"/>
  <c r="G114" i="16"/>
  <c r="E114" i="16"/>
  <c r="H114" i="16"/>
  <c r="AR114" i="16"/>
  <c r="AT113" i="16"/>
  <c r="AK113" i="16"/>
  <c r="AD113" i="16"/>
  <c r="X113" i="16"/>
  <c r="Y113" i="16"/>
  <c r="Z113" i="16"/>
  <c r="Q113" i="16"/>
  <c r="R113" i="16"/>
  <c r="S113" i="16"/>
  <c r="F113" i="16"/>
  <c r="G113" i="16"/>
  <c r="E113" i="16"/>
  <c r="H113" i="16"/>
  <c r="AR113" i="16"/>
  <c r="AT112" i="16"/>
  <c r="AK112" i="16"/>
  <c r="AD112" i="16"/>
  <c r="X112" i="16"/>
  <c r="Q112" i="16"/>
  <c r="R112" i="16"/>
  <c r="S112" i="16"/>
  <c r="F112" i="16"/>
  <c r="G112" i="16"/>
  <c r="E112" i="16"/>
  <c r="H112" i="16"/>
  <c r="E110" i="16"/>
  <c r="F110" i="16"/>
  <c r="G110" i="16"/>
  <c r="H110" i="16"/>
  <c r="I110" i="16"/>
  <c r="J110" i="16"/>
  <c r="K110" i="16"/>
  <c r="L110" i="16"/>
  <c r="M110" i="16"/>
  <c r="N110" i="16"/>
  <c r="O110" i="16"/>
  <c r="P110" i="16"/>
  <c r="Q110" i="16"/>
  <c r="R110" i="16"/>
  <c r="S110" i="16"/>
  <c r="T110" i="16"/>
  <c r="U110" i="16"/>
  <c r="V110" i="16"/>
  <c r="W110" i="16"/>
  <c r="X110" i="16"/>
  <c r="Y110" i="16"/>
  <c r="Z110" i="16"/>
  <c r="AA110" i="16"/>
  <c r="AB110" i="16"/>
  <c r="AC110" i="16"/>
  <c r="AD110" i="16"/>
  <c r="AE110" i="16"/>
  <c r="AF110" i="16"/>
  <c r="AG110" i="16"/>
  <c r="AH110" i="16"/>
  <c r="A22" i="16"/>
  <c r="A29" i="16"/>
  <c r="A30" i="16"/>
  <c r="A31" i="16"/>
  <c r="A32" i="16"/>
  <c r="A33" i="16"/>
  <c r="A50" i="16"/>
  <c r="A51" i="16"/>
  <c r="A52" i="16"/>
  <c r="A53" i="16"/>
  <c r="A54" i="16"/>
  <c r="A71" i="16"/>
  <c r="A72" i="16"/>
  <c r="A73" i="16"/>
  <c r="A74" i="16"/>
  <c r="A75" i="16"/>
  <c r="A90" i="16"/>
  <c r="A91" i="16"/>
  <c r="A92" i="16"/>
  <c r="A93" i="16"/>
  <c r="A94" i="16"/>
  <c r="A101" i="16"/>
  <c r="A102" i="16"/>
  <c r="A103" i="16"/>
  <c r="A104" i="16"/>
  <c r="A105" i="16"/>
  <c r="A112" i="16"/>
  <c r="A113" i="16"/>
  <c r="A114" i="16"/>
  <c r="A115" i="16"/>
  <c r="A116" i="16"/>
  <c r="A123" i="16"/>
  <c r="A124" i="16"/>
  <c r="A125" i="16"/>
  <c r="A126" i="16"/>
  <c r="A127" i="16"/>
  <c r="A134" i="16"/>
  <c r="A135" i="16"/>
  <c r="A136" i="16"/>
  <c r="A137" i="16"/>
  <c r="A138" i="16"/>
  <c r="A139" i="16"/>
  <c r="A146" i="16"/>
  <c r="A147" i="16"/>
  <c r="A148" i="16"/>
  <c r="A149" i="16"/>
  <c r="A150" i="16"/>
  <c r="A157" i="16"/>
  <c r="A158" i="16"/>
  <c r="A159" i="16"/>
  <c r="A160" i="16"/>
  <c r="A161" i="16"/>
  <c r="A168" i="16"/>
  <c r="A169" i="16"/>
  <c r="A170" i="16"/>
  <c r="A171" i="16"/>
  <c r="A172" i="16"/>
  <c r="A173" i="16"/>
  <c r="A174" i="16"/>
  <c r="AI110" i="16"/>
  <c r="AJ110" i="16"/>
  <c r="AK110" i="16"/>
  <c r="AL110" i="16"/>
  <c r="AM110" i="16"/>
  <c r="AN110" i="16"/>
  <c r="AO110" i="16"/>
  <c r="AU113" i="16"/>
  <c r="AU112" i="16"/>
  <c r="AU116" i="16"/>
  <c r="AB102" i="18"/>
  <c r="AB103" i="18"/>
  <c r="AH99" i="18"/>
  <c r="AH101" i="18"/>
  <c r="AS102" i="18"/>
  <c r="AO102" i="18"/>
  <c r="AS103" i="18"/>
  <c r="AO103" i="18"/>
  <c r="AH100" i="18"/>
  <c r="AE112" i="16"/>
  <c r="AF112" i="16"/>
  <c r="AG112" i="16"/>
  <c r="AE114" i="16"/>
  <c r="AF114" i="16"/>
  <c r="AG114" i="16"/>
  <c r="AE116" i="16"/>
  <c r="AF116" i="16"/>
  <c r="AG116" i="16"/>
  <c r="Q115" i="16"/>
  <c r="R115" i="16"/>
  <c r="S115" i="16"/>
  <c r="AU115" i="16"/>
  <c r="AE113" i="16"/>
  <c r="AF113" i="16"/>
  <c r="AG113" i="16"/>
  <c r="AE115" i="16"/>
  <c r="AF115" i="16"/>
  <c r="AG115" i="16"/>
  <c r="Q114" i="16"/>
  <c r="R114" i="16"/>
  <c r="S114" i="16"/>
  <c r="AU114" i="16"/>
  <c r="Y115" i="16"/>
  <c r="Z115" i="16"/>
  <c r="AO115" i="16"/>
  <c r="AL112" i="16"/>
  <c r="AV112" i="16"/>
  <c r="AR116" i="16"/>
  <c r="I116" i="16"/>
  <c r="AL113" i="16"/>
  <c r="AV113" i="16"/>
  <c r="AR112" i="16"/>
  <c r="I112" i="16"/>
  <c r="AO113" i="16"/>
  <c r="AS113" i="16"/>
  <c r="AA113" i="16"/>
  <c r="AL116" i="16"/>
  <c r="AV116" i="16"/>
  <c r="I113" i="16"/>
  <c r="Y114" i="16"/>
  <c r="Z114" i="16"/>
  <c r="I115" i="16"/>
  <c r="Y112" i="16"/>
  <c r="Z112" i="16"/>
  <c r="I114" i="16"/>
  <c r="Y116" i="16"/>
  <c r="Z116" i="16"/>
  <c r="AH114" i="16"/>
  <c r="A183" i="16"/>
  <c r="A184" i="16"/>
  <c r="A185" i="16"/>
  <c r="A186" i="16"/>
  <c r="A187" i="16"/>
  <c r="AH112" i="16"/>
  <c r="AH116" i="16"/>
  <c r="AL115" i="16"/>
  <c r="AV115" i="16"/>
  <c r="AH115" i="16"/>
  <c r="AH113" i="16"/>
  <c r="AS115" i="16"/>
  <c r="AA115" i="16"/>
  <c r="AL114" i="16"/>
  <c r="AV114" i="16"/>
  <c r="AB112" i="16"/>
  <c r="AA112" i="16"/>
  <c r="AO112" i="16"/>
  <c r="AS112" i="16"/>
  <c r="AO116" i="16"/>
  <c r="AB116" i="16"/>
  <c r="AS116" i="16"/>
  <c r="AA116" i="16"/>
  <c r="AA114" i="16"/>
  <c r="AO114" i="16"/>
  <c r="AS114" i="16"/>
  <c r="AB114" i="16"/>
  <c r="AB113" i="16"/>
  <c r="AB115" i="16"/>
  <c r="E21" i="25"/>
  <c r="F21" i="25"/>
  <c r="G21" i="25"/>
  <c r="H21" i="25"/>
  <c r="I21" i="25"/>
  <c r="M21" i="25"/>
  <c r="Q21" i="25"/>
  <c r="R21" i="25"/>
  <c r="S21" i="25"/>
  <c r="AW21" i="25"/>
  <c r="X21" i="25"/>
  <c r="AC21" i="25"/>
  <c r="AD21" i="25"/>
  <c r="AK21" i="25"/>
  <c r="AT21" i="25"/>
  <c r="AU21" i="25"/>
  <c r="AE21" i="25"/>
  <c r="AF21" i="25"/>
  <c r="AG21" i="25"/>
  <c r="AH21" i="25"/>
  <c r="Y21" i="25"/>
  <c r="Z21" i="25"/>
  <c r="AV21" i="25"/>
  <c r="AL21" i="25"/>
  <c r="AR21" i="25"/>
  <c r="AA21" i="25"/>
  <c r="AO21" i="25"/>
  <c r="AS21" i="25"/>
  <c r="AB21" i="25"/>
  <c r="G87" i="18"/>
  <c r="G89" i="18"/>
  <c r="G90" i="18"/>
  <c r="L113" i="18"/>
  <c r="Q113" i="18"/>
  <c r="R113" i="18"/>
  <c r="S113" i="18"/>
  <c r="AU113" i="18"/>
  <c r="Q111" i="18"/>
  <c r="R111" i="18"/>
  <c r="S111" i="18"/>
  <c r="Q110" i="18"/>
  <c r="R110" i="18"/>
  <c r="S110" i="18"/>
  <c r="L65" i="18"/>
  <c r="Q65" i="18"/>
  <c r="R65" i="18"/>
  <c r="S65" i="18"/>
  <c r="L47" i="18"/>
  <c r="Q47" i="18"/>
  <c r="R47" i="18"/>
  <c r="S47" i="18"/>
  <c r="L45" i="18"/>
  <c r="Q45" i="18"/>
  <c r="R45" i="18"/>
  <c r="S45" i="18"/>
  <c r="L44" i="18"/>
  <c r="Q44" i="18"/>
  <c r="R44" i="18"/>
  <c r="S44" i="18"/>
  <c r="L36" i="18"/>
  <c r="L35" i="18"/>
  <c r="Q35" i="18"/>
  <c r="R35" i="18"/>
  <c r="S35" i="18"/>
  <c r="L34" i="18"/>
  <c r="L33" i="18"/>
  <c r="Q33" i="18"/>
  <c r="R33" i="18"/>
  <c r="S33" i="18"/>
  <c r="L20" i="18"/>
  <c r="Q19" i="18"/>
  <c r="R19" i="18"/>
  <c r="S19" i="18"/>
  <c r="L12" i="18"/>
  <c r="Q12" i="18"/>
  <c r="R12" i="18"/>
  <c r="S12" i="18"/>
  <c r="L11" i="18"/>
  <c r="Q11" i="18"/>
  <c r="R11" i="18"/>
  <c r="S11" i="18"/>
  <c r="L9" i="18"/>
  <c r="Q9" i="18"/>
  <c r="R9" i="18"/>
  <c r="S9" i="18"/>
  <c r="Q8" i="18"/>
  <c r="R8" i="18"/>
  <c r="S8" i="18"/>
  <c r="F94" i="16"/>
  <c r="F93" i="16"/>
  <c r="K74" i="16"/>
  <c r="Q74" i="16"/>
  <c r="R74" i="16"/>
  <c r="S74" i="16"/>
  <c r="K73" i="16"/>
  <c r="Q73" i="16"/>
  <c r="R73" i="16"/>
  <c r="S73" i="16"/>
  <c r="K71" i="16"/>
  <c r="Q71" i="16"/>
  <c r="R71" i="16"/>
  <c r="S71" i="16"/>
  <c r="F10" i="16"/>
  <c r="G10" i="16"/>
  <c r="L9" i="16"/>
  <c r="Q9" i="16"/>
  <c r="R9" i="16"/>
  <c r="S9" i="16"/>
  <c r="E93" i="15"/>
  <c r="F93" i="15"/>
  <c r="G93" i="15"/>
  <c r="H93" i="15"/>
  <c r="I93" i="15"/>
  <c r="J93" i="15"/>
  <c r="K93" i="15"/>
  <c r="L93" i="15"/>
  <c r="M93" i="15"/>
  <c r="N93" i="15"/>
  <c r="E31" i="15"/>
  <c r="F31" i="15"/>
  <c r="G31" i="15"/>
  <c r="H31" i="15"/>
  <c r="I31" i="15"/>
  <c r="J31" i="15"/>
  <c r="K31" i="15"/>
  <c r="L31" i="15"/>
  <c r="M31" i="15"/>
  <c r="N31" i="15"/>
  <c r="E51" i="16"/>
  <c r="H51" i="16"/>
  <c r="AR51" i="16"/>
  <c r="X51" i="16"/>
  <c r="AT51" i="16"/>
  <c r="Q51" i="16"/>
  <c r="R51" i="16"/>
  <c r="S51" i="16"/>
  <c r="G51" i="16"/>
  <c r="AK51" i="16"/>
  <c r="E54" i="16"/>
  <c r="H54" i="16"/>
  <c r="AR54" i="16"/>
  <c r="X54" i="16"/>
  <c r="Y54" i="16"/>
  <c r="Z54" i="16"/>
  <c r="AT54" i="16"/>
  <c r="M54" i="16"/>
  <c r="Q54" i="16"/>
  <c r="R54" i="16"/>
  <c r="S54" i="16"/>
  <c r="G54" i="16"/>
  <c r="AK54" i="16"/>
  <c r="E52" i="16"/>
  <c r="H52" i="16"/>
  <c r="AR52" i="16"/>
  <c r="X52" i="16"/>
  <c r="AT52" i="16"/>
  <c r="M52" i="16"/>
  <c r="Q52" i="16"/>
  <c r="R52" i="16"/>
  <c r="S52" i="16"/>
  <c r="G52" i="16"/>
  <c r="AU52" i="16"/>
  <c r="AK52" i="16"/>
  <c r="E53" i="16"/>
  <c r="H53" i="16"/>
  <c r="AR53" i="16"/>
  <c r="X53" i="16"/>
  <c r="Y53" i="16"/>
  <c r="Z53" i="16"/>
  <c r="AS53" i="16"/>
  <c r="AT53" i="16"/>
  <c r="M53" i="16"/>
  <c r="Q53" i="16"/>
  <c r="R53" i="16"/>
  <c r="S53" i="16"/>
  <c r="G53" i="16"/>
  <c r="AK53" i="16"/>
  <c r="AK50" i="16"/>
  <c r="M50" i="16"/>
  <c r="Q50" i="16"/>
  <c r="R50" i="16"/>
  <c r="S50" i="16"/>
  <c r="F50" i="16"/>
  <c r="G50" i="16"/>
  <c r="AT50" i="16"/>
  <c r="X50" i="16"/>
  <c r="Y50" i="16"/>
  <c r="Z50" i="16"/>
  <c r="E50" i="16"/>
  <c r="H50" i="16"/>
  <c r="I50" i="16"/>
  <c r="AD51" i="16"/>
  <c r="AE51" i="16"/>
  <c r="AF51" i="16"/>
  <c r="AG51" i="16"/>
  <c r="AD54" i="16"/>
  <c r="AD52" i="16"/>
  <c r="AD53" i="16"/>
  <c r="AD50" i="16"/>
  <c r="B10" i="18"/>
  <c r="E128" i="18"/>
  <c r="F128" i="18"/>
  <c r="G128" i="18"/>
  <c r="H128" i="18"/>
  <c r="I128" i="18"/>
  <c r="J128" i="18"/>
  <c r="K128" i="18"/>
  <c r="L128" i="18"/>
  <c r="M128" i="18"/>
  <c r="N128" i="18"/>
  <c r="O128" i="18"/>
  <c r="P128" i="18"/>
  <c r="Q128" i="18"/>
  <c r="R128" i="18"/>
  <c r="V128" i="18"/>
  <c r="W128" i="18"/>
  <c r="X128" i="18"/>
  <c r="Y128" i="18"/>
  <c r="Z128" i="18"/>
  <c r="AA128" i="18"/>
  <c r="AB128" i="18"/>
  <c r="AC128" i="18"/>
  <c r="AD128" i="18"/>
  <c r="AE128" i="18"/>
  <c r="AF128" i="18"/>
  <c r="AG128" i="18"/>
  <c r="AH128" i="18"/>
  <c r="E130" i="18"/>
  <c r="H130" i="18"/>
  <c r="AR130" i="18"/>
  <c r="G130" i="18"/>
  <c r="L130" i="18"/>
  <c r="Q130" i="18"/>
  <c r="R130" i="18"/>
  <c r="S130" i="18"/>
  <c r="X130" i="18"/>
  <c r="AC130" i="18"/>
  <c r="AD130" i="18"/>
  <c r="AK130" i="18"/>
  <c r="AT130" i="18"/>
  <c r="E131" i="18"/>
  <c r="H131" i="18"/>
  <c r="I131" i="18"/>
  <c r="G131" i="18"/>
  <c r="N131" i="18"/>
  <c r="Q131" i="18"/>
  <c r="R131" i="18"/>
  <c r="S131" i="18"/>
  <c r="X131" i="18"/>
  <c r="Y131" i="18"/>
  <c r="Z131" i="18"/>
  <c r="AD131" i="18"/>
  <c r="AK131" i="18"/>
  <c r="AV131" i="18"/>
  <c r="AT131" i="18"/>
  <c r="E132" i="18"/>
  <c r="H132" i="18"/>
  <c r="G132" i="18"/>
  <c r="Q132" i="18"/>
  <c r="R132" i="18"/>
  <c r="S132" i="18"/>
  <c r="AU132" i="18"/>
  <c r="X132" i="18"/>
  <c r="AD132" i="18"/>
  <c r="AK132" i="18"/>
  <c r="AT132" i="18"/>
  <c r="E133" i="18"/>
  <c r="H133" i="18"/>
  <c r="G133" i="18"/>
  <c r="Q133" i="18"/>
  <c r="R133" i="18"/>
  <c r="S133" i="18"/>
  <c r="X133" i="18"/>
  <c r="AC133" i="18"/>
  <c r="AD133" i="18"/>
  <c r="AK133" i="18"/>
  <c r="AT133" i="18"/>
  <c r="M134" i="18"/>
  <c r="Q134" i="18"/>
  <c r="R134" i="18"/>
  <c r="S134" i="18"/>
  <c r="AK134" i="18"/>
  <c r="X124" i="18"/>
  <c r="Y124" i="18"/>
  <c r="Z124" i="18"/>
  <c r="AD124" i="18"/>
  <c r="E124" i="18"/>
  <c r="H124" i="18"/>
  <c r="AR124" i="18"/>
  <c r="X123" i="18"/>
  <c r="AD123" i="18"/>
  <c r="E123" i="18"/>
  <c r="H123" i="18"/>
  <c r="I123" i="18"/>
  <c r="X121" i="18"/>
  <c r="Y121" i="18"/>
  <c r="Z121" i="18"/>
  <c r="AD121" i="18"/>
  <c r="E121" i="18"/>
  <c r="H121" i="18"/>
  <c r="AR121" i="18"/>
  <c r="AC134" i="18"/>
  <c r="AD134" i="18"/>
  <c r="X134" i="18"/>
  <c r="Y134" i="18"/>
  <c r="Z134" i="18"/>
  <c r="E134" i="18"/>
  <c r="H134" i="18"/>
  <c r="I134" i="18"/>
  <c r="AT134" i="18"/>
  <c r="G134" i="18"/>
  <c r="X122" i="18"/>
  <c r="Y122" i="18"/>
  <c r="Z122" i="18"/>
  <c r="AT122" i="18"/>
  <c r="AT123" i="18"/>
  <c r="AT124" i="18"/>
  <c r="AT121" i="18"/>
  <c r="E122" i="18"/>
  <c r="H122" i="18"/>
  <c r="L122" i="18"/>
  <c r="Q122" i="18"/>
  <c r="R122" i="18"/>
  <c r="S122" i="18"/>
  <c r="G122" i="18"/>
  <c r="AK122" i="18"/>
  <c r="N123" i="18"/>
  <c r="Q123" i="18"/>
  <c r="R123" i="18"/>
  <c r="S123" i="18"/>
  <c r="G123" i="18"/>
  <c r="N124" i="18"/>
  <c r="Q124" i="18"/>
  <c r="R124" i="18"/>
  <c r="S124" i="18"/>
  <c r="G124" i="18"/>
  <c r="AK124" i="18"/>
  <c r="N121" i="18"/>
  <c r="Q121" i="18"/>
  <c r="R121" i="18"/>
  <c r="S121" i="18"/>
  <c r="AK121" i="18"/>
  <c r="G121" i="18"/>
  <c r="AC122" i="18"/>
  <c r="AD122" i="18"/>
  <c r="V119" i="18"/>
  <c r="W119" i="18"/>
  <c r="X119" i="18"/>
  <c r="Y119" i="18"/>
  <c r="Z119" i="18"/>
  <c r="AA119" i="18"/>
  <c r="AB119" i="18"/>
  <c r="AC119" i="18"/>
  <c r="AD119" i="18"/>
  <c r="AE119" i="18"/>
  <c r="AF119" i="18"/>
  <c r="AG119" i="18"/>
  <c r="AH119" i="18"/>
  <c r="E119" i="18"/>
  <c r="F119" i="18"/>
  <c r="G119" i="18"/>
  <c r="H119" i="18"/>
  <c r="I119" i="18"/>
  <c r="J119" i="18"/>
  <c r="K119" i="18"/>
  <c r="L119" i="18"/>
  <c r="M119" i="18"/>
  <c r="N119" i="18"/>
  <c r="O119" i="18"/>
  <c r="P119" i="18"/>
  <c r="Q119" i="18"/>
  <c r="R119" i="18"/>
  <c r="E49" i="25"/>
  <c r="H49" i="25"/>
  <c r="X49" i="25"/>
  <c r="Y49" i="25"/>
  <c r="Z49" i="25"/>
  <c r="AT49" i="25"/>
  <c r="Q49" i="25"/>
  <c r="R49" i="25"/>
  <c r="S49" i="25"/>
  <c r="G49" i="25"/>
  <c r="Q42" i="25"/>
  <c r="R42" i="25"/>
  <c r="S42" i="25"/>
  <c r="AK42" i="25"/>
  <c r="AV42" i="25"/>
  <c r="G42" i="25"/>
  <c r="AT42" i="25"/>
  <c r="X42" i="25"/>
  <c r="Y42" i="25"/>
  <c r="Z42" i="25"/>
  <c r="AS42" i="25"/>
  <c r="E42" i="25"/>
  <c r="H42" i="25"/>
  <c r="AR42" i="25"/>
  <c r="Q41" i="25"/>
  <c r="R41" i="25"/>
  <c r="S41" i="25"/>
  <c r="AW41" i="25"/>
  <c r="AK41" i="25"/>
  <c r="G41" i="25"/>
  <c r="AT41" i="25"/>
  <c r="X41" i="25"/>
  <c r="Y41" i="25"/>
  <c r="Z41" i="25"/>
  <c r="E41" i="25"/>
  <c r="H41" i="25"/>
  <c r="Q40" i="25"/>
  <c r="R40" i="25"/>
  <c r="S40" i="25"/>
  <c r="AK40" i="25"/>
  <c r="G40" i="25"/>
  <c r="AT40" i="25"/>
  <c r="X40" i="25"/>
  <c r="Y40" i="25"/>
  <c r="Z40" i="25"/>
  <c r="AS40" i="25"/>
  <c r="E40" i="25"/>
  <c r="H40" i="25"/>
  <c r="AR40" i="25"/>
  <c r="Q39" i="25"/>
  <c r="R39" i="25"/>
  <c r="S39" i="25"/>
  <c r="AW39" i="25"/>
  <c r="AK39" i="25"/>
  <c r="F39" i="25"/>
  <c r="G39" i="25"/>
  <c r="AT39" i="25"/>
  <c r="X39" i="25"/>
  <c r="Y39" i="25"/>
  <c r="Z39" i="25"/>
  <c r="AS39" i="25"/>
  <c r="E39" i="25"/>
  <c r="H39" i="25"/>
  <c r="AR39" i="25"/>
  <c r="E30" i="25"/>
  <c r="H30" i="25"/>
  <c r="X30" i="25"/>
  <c r="Y30" i="25"/>
  <c r="Z30" i="25"/>
  <c r="AT30" i="25"/>
  <c r="Q30" i="25"/>
  <c r="R30" i="25"/>
  <c r="S30" i="25"/>
  <c r="AW30" i="25"/>
  <c r="G30" i="25"/>
  <c r="AK30" i="25"/>
  <c r="E31" i="25"/>
  <c r="H31" i="25"/>
  <c r="X31" i="25"/>
  <c r="Y31" i="25"/>
  <c r="Z31" i="25"/>
  <c r="AT31" i="25"/>
  <c r="Q31" i="25"/>
  <c r="R31" i="25"/>
  <c r="S31" i="25"/>
  <c r="AW31" i="25"/>
  <c r="G31" i="25"/>
  <c r="AK31" i="25"/>
  <c r="H32" i="25"/>
  <c r="AR32" i="25"/>
  <c r="X32" i="25"/>
  <c r="Y32" i="25"/>
  <c r="Z32" i="25"/>
  <c r="AS32" i="25"/>
  <c r="AT32" i="25"/>
  <c r="Q32" i="25"/>
  <c r="R32" i="25"/>
  <c r="S32" i="25"/>
  <c r="AW32" i="25"/>
  <c r="G32" i="25"/>
  <c r="AK32" i="25"/>
  <c r="Q29" i="25"/>
  <c r="R29" i="25"/>
  <c r="S29" i="25"/>
  <c r="AW29" i="25"/>
  <c r="AK29" i="25"/>
  <c r="F29" i="25"/>
  <c r="G29" i="25"/>
  <c r="AT29" i="25"/>
  <c r="X29" i="25"/>
  <c r="Y29" i="25"/>
  <c r="Z29" i="25"/>
  <c r="E29" i="25"/>
  <c r="H29" i="25"/>
  <c r="E20" i="25"/>
  <c r="H20" i="25"/>
  <c r="X20" i="25"/>
  <c r="Y20" i="25"/>
  <c r="Z20" i="25"/>
  <c r="AS20" i="25"/>
  <c r="AT20" i="25"/>
  <c r="O20" i="25"/>
  <c r="Q20" i="25"/>
  <c r="R20" i="25"/>
  <c r="S20" i="25"/>
  <c r="AW20" i="25"/>
  <c r="F20" i="25"/>
  <c r="G20" i="25"/>
  <c r="AK20" i="25"/>
  <c r="E22" i="25"/>
  <c r="H22" i="25"/>
  <c r="X22" i="25"/>
  <c r="Y22" i="25"/>
  <c r="Z22" i="25"/>
  <c r="AS22" i="25"/>
  <c r="AT22" i="25"/>
  <c r="Q22" i="25"/>
  <c r="R22" i="25"/>
  <c r="S22" i="25"/>
  <c r="F22" i="25"/>
  <c r="G22" i="25"/>
  <c r="AK22" i="25"/>
  <c r="M19" i="25"/>
  <c r="Q19" i="25"/>
  <c r="R19" i="25"/>
  <c r="S19" i="25"/>
  <c r="AK19" i="25"/>
  <c r="F19" i="25"/>
  <c r="G19" i="25"/>
  <c r="AT19" i="25"/>
  <c r="X19" i="25"/>
  <c r="Y19" i="25"/>
  <c r="Z19" i="25"/>
  <c r="E19" i="25"/>
  <c r="H19" i="25"/>
  <c r="E9" i="25"/>
  <c r="H9" i="25"/>
  <c r="AR9" i="25"/>
  <c r="X9" i="25"/>
  <c r="Y9" i="25"/>
  <c r="Z9" i="25"/>
  <c r="AS9" i="25"/>
  <c r="M9" i="25"/>
  <c r="F9" i="25"/>
  <c r="G9" i="25"/>
  <c r="AK9" i="25"/>
  <c r="E10" i="25"/>
  <c r="H10" i="25"/>
  <c r="X10" i="25"/>
  <c r="Y10" i="25"/>
  <c r="Z10" i="25"/>
  <c r="AT10" i="25"/>
  <c r="Q10" i="25"/>
  <c r="R10" i="25"/>
  <c r="S10" i="25"/>
  <c r="AW10" i="25"/>
  <c r="F10" i="25"/>
  <c r="G10" i="25"/>
  <c r="AK10" i="25"/>
  <c r="E11" i="25"/>
  <c r="H11" i="25"/>
  <c r="AR11" i="25"/>
  <c r="X11" i="25"/>
  <c r="Y11" i="25"/>
  <c r="Z11" i="25"/>
  <c r="AT11" i="25"/>
  <c r="M11" i="25"/>
  <c r="F11" i="25"/>
  <c r="G11" i="25"/>
  <c r="AK11" i="25"/>
  <c r="E12" i="25"/>
  <c r="H12" i="25"/>
  <c r="X12" i="25"/>
  <c r="Y12" i="25"/>
  <c r="Z12" i="25"/>
  <c r="AS12" i="25"/>
  <c r="AT12" i="25"/>
  <c r="M12" i="25"/>
  <c r="Q12" i="25"/>
  <c r="R12" i="25"/>
  <c r="S12" i="25"/>
  <c r="F12" i="25"/>
  <c r="G12" i="25"/>
  <c r="AK12" i="25"/>
  <c r="Q8" i="25"/>
  <c r="R8" i="25"/>
  <c r="S8" i="25"/>
  <c r="AW8" i="25"/>
  <c r="AK8" i="25"/>
  <c r="G8" i="25"/>
  <c r="AT8" i="25"/>
  <c r="X8" i="25"/>
  <c r="Y8" i="25"/>
  <c r="Z8" i="25"/>
  <c r="E8" i="25"/>
  <c r="H8" i="25"/>
  <c r="AR8" i="25"/>
  <c r="E88" i="18"/>
  <c r="H88" i="18"/>
  <c r="X88" i="18"/>
  <c r="Y88" i="18"/>
  <c r="Z88" i="18"/>
  <c r="AS88" i="18"/>
  <c r="AT88" i="18"/>
  <c r="K88" i="18"/>
  <c r="Q88" i="18"/>
  <c r="R88" i="18"/>
  <c r="S88" i="18"/>
  <c r="G88" i="18"/>
  <c r="AK88" i="18"/>
  <c r="E89" i="18"/>
  <c r="H89" i="18"/>
  <c r="AR89" i="18"/>
  <c r="X89" i="18"/>
  <c r="Y89" i="18"/>
  <c r="Z89" i="18"/>
  <c r="AS89" i="18"/>
  <c r="AT89" i="18"/>
  <c r="K89" i="18"/>
  <c r="Q89" i="18"/>
  <c r="R89" i="18"/>
  <c r="S89" i="18"/>
  <c r="AK89" i="18"/>
  <c r="E90" i="18"/>
  <c r="H90" i="18"/>
  <c r="AR90" i="18"/>
  <c r="X90" i="18"/>
  <c r="Y90" i="18"/>
  <c r="Z90" i="18"/>
  <c r="AS90" i="18"/>
  <c r="AT90" i="18"/>
  <c r="K90" i="18"/>
  <c r="Q90" i="18"/>
  <c r="R90" i="18"/>
  <c r="S90" i="18"/>
  <c r="AU90" i="18"/>
  <c r="AK90" i="18"/>
  <c r="E92" i="18"/>
  <c r="H92" i="18"/>
  <c r="AR92" i="18"/>
  <c r="X92" i="18"/>
  <c r="Y92" i="18"/>
  <c r="Z92" i="18"/>
  <c r="AT92" i="18"/>
  <c r="K92" i="18"/>
  <c r="Q92" i="18"/>
  <c r="R92" i="18"/>
  <c r="S92" i="18"/>
  <c r="G92" i="18"/>
  <c r="AK92" i="18"/>
  <c r="K87" i="18"/>
  <c r="Q87" i="18"/>
  <c r="R87" i="18"/>
  <c r="S87" i="18"/>
  <c r="AU87" i="18"/>
  <c r="AK87" i="18"/>
  <c r="AT87" i="18"/>
  <c r="X87" i="18"/>
  <c r="Y87" i="18"/>
  <c r="Z87" i="18"/>
  <c r="AS87" i="18"/>
  <c r="E87" i="18"/>
  <c r="H87" i="18"/>
  <c r="AR87" i="18"/>
  <c r="E66" i="18"/>
  <c r="H66" i="18"/>
  <c r="X66" i="18"/>
  <c r="Y66" i="18"/>
  <c r="Z66" i="18"/>
  <c r="AT66" i="18"/>
  <c r="Q66" i="18"/>
  <c r="R66" i="18"/>
  <c r="S66" i="18"/>
  <c r="F66" i="18"/>
  <c r="G66" i="18"/>
  <c r="AK66" i="18"/>
  <c r="E67" i="18"/>
  <c r="H67" i="18"/>
  <c r="AR67" i="18"/>
  <c r="X67" i="18"/>
  <c r="Y67" i="18"/>
  <c r="Z67" i="18"/>
  <c r="AS67" i="18"/>
  <c r="AT67" i="18"/>
  <c r="Q67" i="18"/>
  <c r="R67" i="18"/>
  <c r="S67" i="18"/>
  <c r="F67" i="18"/>
  <c r="G67" i="18"/>
  <c r="AK67" i="18"/>
  <c r="E68" i="18"/>
  <c r="H68" i="18"/>
  <c r="AR68" i="18"/>
  <c r="X68" i="18"/>
  <c r="Y68" i="18"/>
  <c r="Z68" i="18"/>
  <c r="AS68" i="18"/>
  <c r="AT68" i="18"/>
  <c r="Q68" i="18"/>
  <c r="R68" i="18"/>
  <c r="S68" i="18"/>
  <c r="F68" i="18"/>
  <c r="G68" i="18"/>
  <c r="AK68" i="18"/>
  <c r="E69" i="18"/>
  <c r="H69" i="18"/>
  <c r="AR69" i="18"/>
  <c r="X69" i="18"/>
  <c r="Y69" i="18"/>
  <c r="Z69" i="18"/>
  <c r="AT69" i="18"/>
  <c r="Q69" i="18"/>
  <c r="R69" i="18"/>
  <c r="S69" i="18"/>
  <c r="F69" i="18"/>
  <c r="G69" i="18"/>
  <c r="AK69" i="18"/>
  <c r="AK65" i="18"/>
  <c r="F65" i="18"/>
  <c r="G65" i="18"/>
  <c r="AT65" i="18"/>
  <c r="X65" i="18"/>
  <c r="Y65" i="18"/>
  <c r="Z65" i="18"/>
  <c r="E65" i="18"/>
  <c r="H65" i="18"/>
  <c r="I65" i="18"/>
  <c r="E111" i="18"/>
  <c r="H111" i="18"/>
  <c r="AR111" i="18"/>
  <c r="X111" i="18"/>
  <c r="Y111" i="18"/>
  <c r="Z111" i="18"/>
  <c r="AT111" i="18"/>
  <c r="G111" i="18"/>
  <c r="AK111" i="18"/>
  <c r="E112" i="18"/>
  <c r="H112" i="18"/>
  <c r="X112" i="18"/>
  <c r="Y112" i="18"/>
  <c r="Z112" i="18"/>
  <c r="AS112" i="18"/>
  <c r="AT112" i="18"/>
  <c r="Q112" i="18"/>
  <c r="R112" i="18"/>
  <c r="S112" i="18"/>
  <c r="AU112" i="18"/>
  <c r="AK112" i="18"/>
  <c r="E113" i="18"/>
  <c r="H113" i="18"/>
  <c r="AR113" i="18"/>
  <c r="X113" i="18"/>
  <c r="Y113" i="18"/>
  <c r="Z113" i="18"/>
  <c r="AT113" i="18"/>
  <c r="AK113" i="18"/>
  <c r="E114" i="18"/>
  <c r="H114" i="18"/>
  <c r="AR114" i="18"/>
  <c r="X114" i="18"/>
  <c r="Y114" i="18"/>
  <c r="Z114" i="18"/>
  <c r="AO114" i="18"/>
  <c r="AT114" i="18"/>
  <c r="Q114" i="18"/>
  <c r="R114" i="18"/>
  <c r="S114" i="18"/>
  <c r="G114" i="18"/>
  <c r="AK114" i="18"/>
  <c r="AK110" i="18"/>
  <c r="G110" i="18"/>
  <c r="AT110" i="18"/>
  <c r="X110" i="18"/>
  <c r="Y110" i="18"/>
  <c r="Z110" i="18"/>
  <c r="E110" i="18"/>
  <c r="H110" i="18"/>
  <c r="AK8" i="18"/>
  <c r="E45" i="18"/>
  <c r="H45" i="18"/>
  <c r="X45" i="18"/>
  <c r="Y45" i="18"/>
  <c r="Z45" i="18"/>
  <c r="AS45" i="18"/>
  <c r="AT45" i="18"/>
  <c r="F45" i="18"/>
  <c r="G45" i="18"/>
  <c r="AK45" i="18"/>
  <c r="E46" i="18"/>
  <c r="H46" i="18"/>
  <c r="AR46" i="18"/>
  <c r="X46" i="18"/>
  <c r="Y46" i="18"/>
  <c r="Z46" i="18"/>
  <c r="AT46" i="18"/>
  <c r="Q46" i="18"/>
  <c r="R46" i="18"/>
  <c r="S46" i="18"/>
  <c r="G46" i="18"/>
  <c r="AK46" i="18"/>
  <c r="E47" i="18"/>
  <c r="H47" i="18"/>
  <c r="X47" i="18"/>
  <c r="Y47" i="18"/>
  <c r="Z47" i="18"/>
  <c r="AS47" i="18"/>
  <c r="AT47" i="18"/>
  <c r="F47" i="18"/>
  <c r="G47" i="18"/>
  <c r="AK47" i="18"/>
  <c r="E48" i="18"/>
  <c r="H48" i="18"/>
  <c r="AR48" i="18"/>
  <c r="X48" i="18"/>
  <c r="Y48" i="18"/>
  <c r="Z48" i="18"/>
  <c r="AS48" i="18"/>
  <c r="AT48" i="18"/>
  <c r="Q48" i="18"/>
  <c r="R48" i="18"/>
  <c r="S48" i="18"/>
  <c r="F48" i="18"/>
  <c r="G48" i="18"/>
  <c r="AK48" i="18"/>
  <c r="AK44" i="18"/>
  <c r="F44" i="18"/>
  <c r="G44" i="18"/>
  <c r="AT44" i="18"/>
  <c r="X44" i="18"/>
  <c r="Y44" i="18"/>
  <c r="Z44" i="18"/>
  <c r="AS44" i="18"/>
  <c r="E44" i="18"/>
  <c r="H44" i="18"/>
  <c r="AR44" i="18"/>
  <c r="E32" i="18"/>
  <c r="H32" i="18"/>
  <c r="X32" i="18"/>
  <c r="Y32" i="18"/>
  <c r="Z32" i="18"/>
  <c r="AT32" i="18"/>
  <c r="Q32" i="18"/>
  <c r="R32" i="18"/>
  <c r="S32" i="18"/>
  <c r="F32" i="18"/>
  <c r="G32" i="18"/>
  <c r="AK32" i="18"/>
  <c r="E33" i="18"/>
  <c r="H33" i="18"/>
  <c r="X33" i="18"/>
  <c r="Y33" i="18"/>
  <c r="Z33" i="18"/>
  <c r="AS33" i="18"/>
  <c r="AT33" i="18"/>
  <c r="G33" i="18"/>
  <c r="AK33" i="18"/>
  <c r="E34" i="18"/>
  <c r="H34" i="18"/>
  <c r="AR34" i="18"/>
  <c r="X34" i="18"/>
  <c r="Y34" i="18"/>
  <c r="Z34" i="18"/>
  <c r="AS34" i="18"/>
  <c r="AT34" i="18"/>
  <c r="Q34" i="18"/>
  <c r="R34" i="18"/>
  <c r="S34" i="18"/>
  <c r="G34" i="18"/>
  <c r="AK34" i="18"/>
  <c r="E35" i="18"/>
  <c r="H35" i="18"/>
  <c r="AR35" i="18"/>
  <c r="X35" i="18"/>
  <c r="Y35" i="18"/>
  <c r="Z35" i="18"/>
  <c r="AT35" i="18"/>
  <c r="F35" i="18"/>
  <c r="G35" i="18"/>
  <c r="AK35" i="18"/>
  <c r="E36" i="18"/>
  <c r="H36" i="18"/>
  <c r="X36" i="18"/>
  <c r="Y36" i="18"/>
  <c r="Z36" i="18"/>
  <c r="AT36" i="18"/>
  <c r="Q36" i="18"/>
  <c r="R36" i="18"/>
  <c r="S36" i="18"/>
  <c r="F36" i="18"/>
  <c r="G36" i="18"/>
  <c r="AK36" i="18"/>
  <c r="Q31" i="18"/>
  <c r="R31" i="18"/>
  <c r="S31" i="18"/>
  <c r="AK31" i="18"/>
  <c r="G31" i="18"/>
  <c r="AT31" i="18"/>
  <c r="X31" i="18"/>
  <c r="Y31" i="18"/>
  <c r="Z31" i="18"/>
  <c r="AS31" i="18"/>
  <c r="E31" i="18"/>
  <c r="H31" i="18"/>
  <c r="AR31" i="18"/>
  <c r="E20" i="18"/>
  <c r="H20" i="18"/>
  <c r="AR20" i="18"/>
  <c r="X20" i="18"/>
  <c r="Y20" i="18"/>
  <c r="Z20" i="18"/>
  <c r="AT20" i="18"/>
  <c r="Q20" i="18"/>
  <c r="R20" i="18"/>
  <c r="S20" i="18"/>
  <c r="G20" i="18"/>
  <c r="AK20" i="18"/>
  <c r="E21" i="18"/>
  <c r="H21" i="18"/>
  <c r="X21" i="18"/>
  <c r="Y21" i="18"/>
  <c r="Z21" i="18"/>
  <c r="AT21" i="18"/>
  <c r="Q21" i="18"/>
  <c r="R21" i="18"/>
  <c r="S21" i="18"/>
  <c r="G21" i="18"/>
  <c r="AK21" i="18"/>
  <c r="E22" i="18"/>
  <c r="H22" i="18"/>
  <c r="X22" i="18"/>
  <c r="Y22" i="18"/>
  <c r="Z22" i="18"/>
  <c r="AS22" i="18"/>
  <c r="AT22" i="18"/>
  <c r="Q22" i="18"/>
  <c r="R22" i="18"/>
  <c r="S22" i="18"/>
  <c r="G22" i="18"/>
  <c r="AK22" i="18"/>
  <c r="E23" i="18"/>
  <c r="H23" i="18"/>
  <c r="AR23" i="18"/>
  <c r="X23" i="18"/>
  <c r="Y23" i="18"/>
  <c r="Z23" i="18"/>
  <c r="AS23" i="18"/>
  <c r="AT23" i="18"/>
  <c r="M23" i="18"/>
  <c r="Q23" i="18"/>
  <c r="R23" i="18"/>
  <c r="S23" i="18"/>
  <c r="F23" i="18"/>
  <c r="G23" i="18"/>
  <c r="AK23" i="18"/>
  <c r="AK19" i="18"/>
  <c r="G19" i="18"/>
  <c r="AT19" i="18"/>
  <c r="X19" i="18"/>
  <c r="Y19" i="18"/>
  <c r="Z19" i="18"/>
  <c r="AS19" i="18"/>
  <c r="E19" i="18"/>
  <c r="H19" i="18"/>
  <c r="AR19" i="18"/>
  <c r="L7" i="16"/>
  <c r="Q7" i="16"/>
  <c r="R7" i="16"/>
  <c r="S7" i="16"/>
  <c r="AK7" i="16"/>
  <c r="F9" i="18"/>
  <c r="G9" i="18"/>
  <c r="Q10" i="18"/>
  <c r="R10" i="18"/>
  <c r="S10" i="18"/>
  <c r="G10" i="18"/>
  <c r="G11" i="18"/>
  <c r="G12" i="18"/>
  <c r="G8" i="18"/>
  <c r="X134" i="16"/>
  <c r="Q187" i="16"/>
  <c r="R187" i="16"/>
  <c r="S187" i="16"/>
  <c r="AK187" i="16"/>
  <c r="F187" i="16"/>
  <c r="G187" i="16"/>
  <c r="X187" i="16"/>
  <c r="Y187" i="16"/>
  <c r="Z187" i="16"/>
  <c r="E187" i="16"/>
  <c r="H187" i="16"/>
  <c r="AR187" i="16"/>
  <c r="Q186" i="16"/>
  <c r="R186" i="16"/>
  <c r="S186" i="16"/>
  <c r="AK186" i="16"/>
  <c r="F186" i="16"/>
  <c r="G186" i="16"/>
  <c r="X186" i="16"/>
  <c r="Y186" i="16"/>
  <c r="Z186" i="16"/>
  <c r="E186" i="16"/>
  <c r="H186" i="16"/>
  <c r="Q185" i="16"/>
  <c r="R185" i="16"/>
  <c r="S185" i="16"/>
  <c r="AK185" i="16"/>
  <c r="F185" i="16"/>
  <c r="G185" i="16"/>
  <c r="X185" i="16"/>
  <c r="Y185" i="16"/>
  <c r="Z185" i="16"/>
  <c r="AO185" i="16"/>
  <c r="E185" i="16"/>
  <c r="H185" i="16"/>
  <c r="Q184" i="16"/>
  <c r="R184" i="16"/>
  <c r="S184" i="16"/>
  <c r="AK184" i="16"/>
  <c r="F184" i="16"/>
  <c r="G184" i="16"/>
  <c r="X184" i="16"/>
  <c r="Y184" i="16"/>
  <c r="Z184" i="16"/>
  <c r="AO184" i="16"/>
  <c r="E184" i="16"/>
  <c r="H184" i="16"/>
  <c r="Q183" i="16"/>
  <c r="R183" i="16"/>
  <c r="S183" i="16"/>
  <c r="AK183" i="16"/>
  <c r="F183" i="16"/>
  <c r="G183" i="16"/>
  <c r="X183" i="16"/>
  <c r="Y183" i="16"/>
  <c r="Z183" i="16"/>
  <c r="E183" i="16"/>
  <c r="H183" i="16"/>
  <c r="I183" i="16"/>
  <c r="E169" i="16"/>
  <c r="H169" i="16"/>
  <c r="X169" i="16"/>
  <c r="Q169" i="16"/>
  <c r="R169" i="16"/>
  <c r="S169" i="16"/>
  <c r="F169" i="16"/>
  <c r="G169" i="16"/>
  <c r="AK169" i="16"/>
  <c r="AU170" i="16"/>
  <c r="E172" i="16"/>
  <c r="H172" i="16"/>
  <c r="AR172" i="16"/>
  <c r="X172" i="16"/>
  <c r="Q172" i="16"/>
  <c r="R172" i="16"/>
  <c r="S172" i="16"/>
  <c r="F172" i="16"/>
  <c r="G172" i="16"/>
  <c r="AR174" i="16"/>
  <c r="Q168" i="16"/>
  <c r="R168" i="16"/>
  <c r="S168" i="16"/>
  <c r="AK168" i="16"/>
  <c r="F168" i="16"/>
  <c r="G168" i="16"/>
  <c r="X168" i="16"/>
  <c r="AE168" i="16"/>
  <c r="E168" i="16"/>
  <c r="H168" i="16"/>
  <c r="I168" i="16"/>
  <c r="E158" i="16"/>
  <c r="H158" i="16"/>
  <c r="AR158" i="16"/>
  <c r="X158" i="16"/>
  <c r="Y158" i="16"/>
  <c r="Z158" i="16"/>
  <c r="R158" i="16"/>
  <c r="S158" i="16"/>
  <c r="F158" i="16"/>
  <c r="G158" i="16"/>
  <c r="AK158" i="16"/>
  <c r="E159" i="16"/>
  <c r="H159" i="16"/>
  <c r="AR159" i="16"/>
  <c r="X159" i="16"/>
  <c r="Y159" i="16"/>
  <c r="Z159" i="16"/>
  <c r="R159" i="16"/>
  <c r="S159" i="16"/>
  <c r="F159" i="16"/>
  <c r="G159" i="16"/>
  <c r="AK159" i="16"/>
  <c r="E160" i="16"/>
  <c r="H160" i="16"/>
  <c r="AR160" i="16"/>
  <c r="X160" i="16"/>
  <c r="Y160" i="16"/>
  <c r="Z160" i="16"/>
  <c r="AO160" i="16"/>
  <c r="R160" i="16"/>
  <c r="S160" i="16"/>
  <c r="F160" i="16"/>
  <c r="G160" i="16"/>
  <c r="AK160" i="16"/>
  <c r="E161" i="16"/>
  <c r="H161" i="16"/>
  <c r="AR161" i="16"/>
  <c r="X161" i="16"/>
  <c r="Y161" i="16"/>
  <c r="Z161" i="16"/>
  <c r="AO161" i="16"/>
  <c r="R161" i="16"/>
  <c r="S161" i="16"/>
  <c r="F161" i="16"/>
  <c r="G161" i="16"/>
  <c r="AK161" i="16"/>
  <c r="R157" i="16"/>
  <c r="S157" i="16"/>
  <c r="AK157" i="16"/>
  <c r="F157" i="16"/>
  <c r="G157" i="16"/>
  <c r="X157" i="16"/>
  <c r="Y157" i="16"/>
  <c r="Z157" i="16"/>
  <c r="E157" i="16"/>
  <c r="H157" i="16"/>
  <c r="E147" i="16"/>
  <c r="H147" i="16"/>
  <c r="AR147" i="16"/>
  <c r="X147" i="16"/>
  <c r="K147" i="16"/>
  <c r="Q147" i="16"/>
  <c r="R147" i="16"/>
  <c r="S147" i="16"/>
  <c r="F147" i="16"/>
  <c r="G147" i="16"/>
  <c r="AK147" i="16"/>
  <c r="H148" i="16"/>
  <c r="AR148" i="16"/>
  <c r="X148" i="16"/>
  <c r="G148" i="16"/>
  <c r="AU148" i="16"/>
  <c r="E149" i="16"/>
  <c r="H149" i="16"/>
  <c r="AR149" i="16"/>
  <c r="X149" i="16"/>
  <c r="Q149" i="16"/>
  <c r="R149" i="16"/>
  <c r="S149" i="16"/>
  <c r="F149" i="16"/>
  <c r="G149" i="16"/>
  <c r="AK149" i="16"/>
  <c r="E150" i="16"/>
  <c r="H150" i="16"/>
  <c r="AR150" i="16"/>
  <c r="X150" i="16"/>
  <c r="Q150" i="16"/>
  <c r="R150" i="16"/>
  <c r="S150" i="16"/>
  <c r="F150" i="16"/>
  <c r="G150" i="16"/>
  <c r="AK150" i="16"/>
  <c r="Q146" i="16"/>
  <c r="R146" i="16"/>
  <c r="S146" i="16"/>
  <c r="AK146" i="16"/>
  <c r="F146" i="16"/>
  <c r="G146" i="16"/>
  <c r="X146" i="16"/>
  <c r="E146" i="16"/>
  <c r="H146" i="16"/>
  <c r="E135" i="16"/>
  <c r="H135" i="16"/>
  <c r="AR135" i="16"/>
  <c r="X135" i="16"/>
  <c r="L135" i="16"/>
  <c r="Q135" i="16"/>
  <c r="R135" i="16"/>
  <c r="S135" i="16"/>
  <c r="F135" i="16"/>
  <c r="G135" i="16"/>
  <c r="AK135" i="16"/>
  <c r="E136" i="16"/>
  <c r="H136" i="16"/>
  <c r="AR136" i="16"/>
  <c r="X136" i="16"/>
  <c r="Q136" i="16"/>
  <c r="R136" i="16"/>
  <c r="S136" i="16"/>
  <c r="F136" i="16"/>
  <c r="G136" i="16"/>
  <c r="AK136" i="16"/>
  <c r="E137" i="16"/>
  <c r="H137" i="16"/>
  <c r="X137" i="16"/>
  <c r="Q137" i="16"/>
  <c r="R137" i="16"/>
  <c r="S137" i="16"/>
  <c r="F137" i="16"/>
  <c r="G137" i="16"/>
  <c r="AK137" i="16"/>
  <c r="E138" i="16"/>
  <c r="H138" i="16"/>
  <c r="AR138" i="16"/>
  <c r="X138" i="16"/>
  <c r="Y138" i="16"/>
  <c r="Z138" i="16"/>
  <c r="AO138" i="16"/>
  <c r="F138" i="16"/>
  <c r="G138" i="16"/>
  <c r="AK138" i="16"/>
  <c r="E139" i="16"/>
  <c r="H139" i="16"/>
  <c r="AR139" i="16"/>
  <c r="X139" i="16"/>
  <c r="Q139" i="16"/>
  <c r="R139" i="16"/>
  <c r="S139" i="16"/>
  <c r="F139" i="16"/>
  <c r="G139" i="16"/>
  <c r="AK139" i="16"/>
  <c r="L134" i="16"/>
  <c r="Q134" i="16"/>
  <c r="R134" i="16"/>
  <c r="S134" i="16"/>
  <c r="AK134" i="16"/>
  <c r="F134" i="16"/>
  <c r="G134" i="16"/>
  <c r="E134" i="16"/>
  <c r="H134" i="16"/>
  <c r="AR134" i="16"/>
  <c r="E124" i="16"/>
  <c r="H124" i="16"/>
  <c r="X124" i="16"/>
  <c r="Y124" i="16"/>
  <c r="Z124" i="16"/>
  <c r="AS124" i="16"/>
  <c r="AT124" i="16"/>
  <c r="Q124" i="16"/>
  <c r="R124" i="16"/>
  <c r="S124" i="16"/>
  <c r="F124" i="16"/>
  <c r="G124" i="16"/>
  <c r="AK124" i="16"/>
  <c r="E125" i="16"/>
  <c r="H125" i="16"/>
  <c r="X125" i="16"/>
  <c r="Y125" i="16"/>
  <c r="Z125" i="16"/>
  <c r="AS125" i="16"/>
  <c r="AT125" i="16"/>
  <c r="F125" i="16"/>
  <c r="G125" i="16"/>
  <c r="AK125" i="16"/>
  <c r="E126" i="16"/>
  <c r="H126" i="16"/>
  <c r="X126" i="16"/>
  <c r="Y126" i="16"/>
  <c r="Z126" i="16"/>
  <c r="AS126" i="16"/>
  <c r="AT126" i="16"/>
  <c r="Q126" i="16"/>
  <c r="R126" i="16"/>
  <c r="S126" i="16"/>
  <c r="F126" i="16"/>
  <c r="G126" i="16"/>
  <c r="AK126" i="16"/>
  <c r="E127" i="16"/>
  <c r="H127" i="16"/>
  <c r="X127" i="16"/>
  <c r="Y127" i="16"/>
  <c r="Z127" i="16"/>
  <c r="AS127" i="16"/>
  <c r="AT127" i="16"/>
  <c r="Q127" i="16"/>
  <c r="R127" i="16"/>
  <c r="S127" i="16"/>
  <c r="F127" i="16"/>
  <c r="G127" i="16"/>
  <c r="AK127" i="16"/>
  <c r="Q123" i="16"/>
  <c r="R123" i="16"/>
  <c r="S123" i="16"/>
  <c r="AK123" i="16"/>
  <c r="F123" i="16"/>
  <c r="G123" i="16"/>
  <c r="AT123" i="16"/>
  <c r="X123" i="16"/>
  <c r="Y123" i="16"/>
  <c r="Z123" i="16"/>
  <c r="E123" i="16"/>
  <c r="H123" i="16"/>
  <c r="AR123" i="16"/>
  <c r="E102" i="16"/>
  <c r="H102" i="16"/>
  <c r="AR102" i="16"/>
  <c r="X102" i="16"/>
  <c r="Y102" i="16"/>
  <c r="Z102" i="16"/>
  <c r="AS102" i="16"/>
  <c r="AT102" i="16"/>
  <c r="L102" i="16"/>
  <c r="Q102" i="16"/>
  <c r="R102" i="16"/>
  <c r="S102" i="16"/>
  <c r="F102" i="16"/>
  <c r="G102" i="16"/>
  <c r="AK102" i="16"/>
  <c r="E103" i="16"/>
  <c r="H103" i="16"/>
  <c r="AR103" i="16"/>
  <c r="X103" i="16"/>
  <c r="Y103" i="16"/>
  <c r="Z103" i="16"/>
  <c r="AS103" i="16"/>
  <c r="AT103" i="16"/>
  <c r="L103" i="16"/>
  <c r="Q103" i="16"/>
  <c r="R103" i="16"/>
  <c r="S103" i="16"/>
  <c r="F103" i="16"/>
  <c r="G103" i="16"/>
  <c r="AK103" i="16"/>
  <c r="E104" i="16"/>
  <c r="H104" i="16"/>
  <c r="AR104" i="16"/>
  <c r="X104" i="16"/>
  <c r="Y104" i="16"/>
  <c r="Z104" i="16"/>
  <c r="AS104" i="16"/>
  <c r="AT104" i="16"/>
  <c r="Q104" i="16"/>
  <c r="R104" i="16"/>
  <c r="S104" i="16"/>
  <c r="F104" i="16"/>
  <c r="G104" i="16"/>
  <c r="AK104" i="16"/>
  <c r="E105" i="16"/>
  <c r="H105" i="16"/>
  <c r="AR105" i="16"/>
  <c r="X105" i="16"/>
  <c r="Y105" i="16"/>
  <c r="Z105" i="16"/>
  <c r="AS105" i="16"/>
  <c r="AT105" i="16"/>
  <c r="L105" i="16"/>
  <c r="Q105" i="16"/>
  <c r="R105" i="16"/>
  <c r="S105" i="16"/>
  <c r="F105" i="16"/>
  <c r="G105" i="16"/>
  <c r="AK105" i="16"/>
  <c r="Q101" i="16"/>
  <c r="R101" i="16"/>
  <c r="S101" i="16"/>
  <c r="AK101" i="16"/>
  <c r="G101" i="16"/>
  <c r="AT101" i="16"/>
  <c r="X101" i="16"/>
  <c r="Y101" i="16"/>
  <c r="Z101" i="16"/>
  <c r="AS101" i="16"/>
  <c r="H101" i="16"/>
  <c r="AR101" i="16"/>
  <c r="Q94" i="16"/>
  <c r="R94" i="16"/>
  <c r="S94" i="16"/>
  <c r="AK94" i="16"/>
  <c r="G94" i="16"/>
  <c r="AT94" i="16"/>
  <c r="X94" i="16"/>
  <c r="Y94" i="16"/>
  <c r="Z94" i="16"/>
  <c r="AS94" i="16"/>
  <c r="E94" i="16"/>
  <c r="H94" i="16"/>
  <c r="AR94" i="16"/>
  <c r="L93" i="16"/>
  <c r="Q93" i="16"/>
  <c r="R93" i="16"/>
  <c r="S93" i="16"/>
  <c r="AK93" i="16"/>
  <c r="G93" i="16"/>
  <c r="AT93" i="16"/>
  <c r="X93" i="16"/>
  <c r="Y93" i="16"/>
  <c r="Z93" i="16"/>
  <c r="AO93" i="16"/>
  <c r="E93" i="16"/>
  <c r="H93" i="16"/>
  <c r="AR93" i="16"/>
  <c r="L92" i="16"/>
  <c r="Q92" i="16"/>
  <c r="R92" i="16"/>
  <c r="S92" i="16"/>
  <c r="AK92" i="16"/>
  <c r="G92" i="16"/>
  <c r="AT92" i="16"/>
  <c r="X92" i="16"/>
  <c r="Y92" i="16"/>
  <c r="Z92" i="16"/>
  <c r="AO92" i="16"/>
  <c r="E92" i="16"/>
  <c r="H92" i="16"/>
  <c r="I92" i="16"/>
  <c r="L91" i="16"/>
  <c r="Q91" i="16"/>
  <c r="R91" i="16"/>
  <c r="S91" i="16"/>
  <c r="AK91" i="16"/>
  <c r="F91" i="16"/>
  <c r="G91" i="16"/>
  <c r="AT91" i="16"/>
  <c r="X91" i="16"/>
  <c r="E91" i="16"/>
  <c r="H91" i="16"/>
  <c r="Q90" i="16"/>
  <c r="R90" i="16"/>
  <c r="S90" i="16"/>
  <c r="AK90" i="16"/>
  <c r="F90" i="16"/>
  <c r="G90" i="16"/>
  <c r="AT90" i="16"/>
  <c r="X90" i="16"/>
  <c r="E90" i="16"/>
  <c r="H90" i="16"/>
  <c r="AR90" i="16"/>
  <c r="E73" i="16"/>
  <c r="H73" i="16"/>
  <c r="X73" i="16"/>
  <c r="Y73" i="16"/>
  <c r="Z73" i="16"/>
  <c r="AS73" i="16"/>
  <c r="AT73" i="16"/>
  <c r="G73" i="16"/>
  <c r="AK73" i="16"/>
  <c r="E74" i="16"/>
  <c r="H74" i="16"/>
  <c r="I74" i="16"/>
  <c r="X74" i="16"/>
  <c r="Y74" i="16"/>
  <c r="Z74" i="16"/>
  <c r="AT74" i="16"/>
  <c r="G74" i="16"/>
  <c r="AK74" i="16"/>
  <c r="E75" i="16"/>
  <c r="H75" i="16"/>
  <c r="X75" i="16"/>
  <c r="Y75" i="16"/>
  <c r="Z75" i="16"/>
  <c r="AS75" i="16"/>
  <c r="AT75" i="16"/>
  <c r="Q75" i="16"/>
  <c r="R75" i="16"/>
  <c r="S75" i="16"/>
  <c r="G75" i="16"/>
  <c r="AK75" i="16"/>
  <c r="E72" i="16"/>
  <c r="H72" i="16"/>
  <c r="AR72" i="16"/>
  <c r="X72" i="16"/>
  <c r="Y72" i="16"/>
  <c r="Z72" i="16"/>
  <c r="AS72" i="16"/>
  <c r="AT72" i="16"/>
  <c r="K72" i="16"/>
  <c r="Q72" i="16"/>
  <c r="R72" i="16"/>
  <c r="S72" i="16"/>
  <c r="F72" i="16"/>
  <c r="G72" i="16"/>
  <c r="AK72" i="16"/>
  <c r="AK71" i="16"/>
  <c r="F71" i="16"/>
  <c r="G71" i="16"/>
  <c r="AT71" i="16"/>
  <c r="X71" i="16"/>
  <c r="Y71" i="16"/>
  <c r="Z71" i="16"/>
  <c r="E71" i="16"/>
  <c r="H71" i="16"/>
  <c r="E30" i="16"/>
  <c r="H30" i="16"/>
  <c r="X30" i="16"/>
  <c r="Y30" i="16"/>
  <c r="Z30" i="16"/>
  <c r="AT30" i="16"/>
  <c r="K30" i="16"/>
  <c r="Q30" i="16"/>
  <c r="R30" i="16"/>
  <c r="S30" i="16"/>
  <c r="F30" i="16"/>
  <c r="G30" i="16"/>
  <c r="AU30" i="16"/>
  <c r="AK30" i="16"/>
  <c r="E31" i="16"/>
  <c r="H31" i="16"/>
  <c r="I31" i="16"/>
  <c r="X31" i="16"/>
  <c r="Y31" i="16"/>
  <c r="Z31" i="16"/>
  <c r="AS31" i="16"/>
  <c r="AT31" i="16"/>
  <c r="K31" i="16"/>
  <c r="Q31" i="16"/>
  <c r="R31" i="16"/>
  <c r="S31" i="16"/>
  <c r="F31" i="16"/>
  <c r="G31" i="16"/>
  <c r="AK31" i="16"/>
  <c r="E32" i="16"/>
  <c r="H32" i="16"/>
  <c r="AR32" i="16"/>
  <c r="X32" i="16"/>
  <c r="Y32" i="16"/>
  <c r="Z32" i="16"/>
  <c r="AT32" i="16"/>
  <c r="K32" i="16"/>
  <c r="Q32" i="16"/>
  <c r="R32" i="16"/>
  <c r="S32" i="16"/>
  <c r="G32" i="16"/>
  <c r="AK32" i="16"/>
  <c r="E33" i="16"/>
  <c r="H33" i="16"/>
  <c r="AR33" i="16"/>
  <c r="X33" i="16"/>
  <c r="Y33" i="16"/>
  <c r="Z33" i="16"/>
  <c r="AT33" i="16"/>
  <c r="K33" i="16"/>
  <c r="Q33" i="16"/>
  <c r="R33" i="16"/>
  <c r="S33" i="16"/>
  <c r="G33" i="16"/>
  <c r="AK33" i="16"/>
  <c r="K29" i="16"/>
  <c r="Q29" i="16"/>
  <c r="R29" i="16"/>
  <c r="S29" i="16"/>
  <c r="AK29" i="16"/>
  <c r="G29" i="16"/>
  <c r="AT29" i="16"/>
  <c r="X29" i="16"/>
  <c r="Y29" i="16"/>
  <c r="Z29" i="16"/>
  <c r="AS29" i="16"/>
  <c r="E29" i="16"/>
  <c r="H29" i="16"/>
  <c r="E19" i="16"/>
  <c r="H19" i="16"/>
  <c r="X19" i="16"/>
  <c r="Y19" i="16"/>
  <c r="Z19" i="16"/>
  <c r="AS19" i="16"/>
  <c r="AT19" i="16"/>
  <c r="Q19" i="16"/>
  <c r="R19" i="16"/>
  <c r="S19" i="16"/>
  <c r="F19" i="16"/>
  <c r="G19" i="16"/>
  <c r="AU19" i="16"/>
  <c r="AK19" i="16"/>
  <c r="E20" i="16"/>
  <c r="H20" i="16"/>
  <c r="AR20" i="16"/>
  <c r="X20" i="16"/>
  <c r="Y20" i="16"/>
  <c r="Z20" i="16"/>
  <c r="AT20" i="16"/>
  <c r="L20" i="16"/>
  <c r="Q20" i="16"/>
  <c r="R20" i="16"/>
  <c r="S20" i="16"/>
  <c r="F20" i="16"/>
  <c r="G20" i="16"/>
  <c r="AK20" i="16"/>
  <c r="E21" i="16"/>
  <c r="H21" i="16"/>
  <c r="X21" i="16"/>
  <c r="Y21" i="16"/>
  <c r="Z21" i="16"/>
  <c r="AT21" i="16"/>
  <c r="Q21" i="16"/>
  <c r="R21" i="16"/>
  <c r="S21" i="16"/>
  <c r="F21" i="16"/>
  <c r="G21" i="16"/>
  <c r="AK21" i="16"/>
  <c r="H22" i="16"/>
  <c r="AR22" i="16"/>
  <c r="X22" i="16"/>
  <c r="Y22" i="16"/>
  <c r="Z22" i="16"/>
  <c r="AS22" i="16"/>
  <c r="AT22" i="16"/>
  <c r="Q22" i="16"/>
  <c r="R22" i="16"/>
  <c r="S22" i="16"/>
  <c r="G22" i="16"/>
  <c r="AU22" i="16"/>
  <c r="AK22" i="16"/>
  <c r="L18" i="16"/>
  <c r="Q18" i="16"/>
  <c r="R18" i="16"/>
  <c r="S18" i="16"/>
  <c r="AK18" i="16"/>
  <c r="F18" i="16"/>
  <c r="G18" i="16"/>
  <c r="AT18" i="16"/>
  <c r="X18" i="16"/>
  <c r="Y18" i="16"/>
  <c r="Z18" i="16"/>
  <c r="AS18" i="16"/>
  <c r="E18" i="16"/>
  <c r="H18" i="16"/>
  <c r="AR18" i="16"/>
  <c r="AT7" i="16"/>
  <c r="AT8" i="16"/>
  <c r="AT9" i="16"/>
  <c r="AT10" i="16"/>
  <c r="AT11" i="16"/>
  <c r="F7" i="16"/>
  <c r="G7" i="16"/>
  <c r="L8" i="16"/>
  <c r="Q8" i="16"/>
  <c r="R8" i="16"/>
  <c r="S8" i="16"/>
  <c r="AK8" i="16"/>
  <c r="AK9" i="16"/>
  <c r="L10" i="16"/>
  <c r="Q10" i="16"/>
  <c r="R10" i="16"/>
  <c r="S10" i="16"/>
  <c r="AK10" i="16"/>
  <c r="L11" i="16"/>
  <c r="Q11" i="16"/>
  <c r="R11" i="16"/>
  <c r="S11" i="16"/>
  <c r="AK11" i="16"/>
  <c r="F8" i="16"/>
  <c r="G8" i="16"/>
  <c r="G9" i="16"/>
  <c r="F11" i="16"/>
  <c r="G11" i="16"/>
  <c r="N39" i="26"/>
  <c r="N38" i="26"/>
  <c r="N37" i="26"/>
  <c r="N36" i="26"/>
  <c r="R36" i="26"/>
  <c r="N35" i="26"/>
  <c r="L39" i="26"/>
  <c r="M39" i="26"/>
  <c r="L37" i="26"/>
  <c r="M37" i="26"/>
  <c r="L36" i="26"/>
  <c r="N22" i="26"/>
  <c r="R22" i="26"/>
  <c r="N21" i="26"/>
  <c r="R21" i="26"/>
  <c r="N20" i="26"/>
  <c r="R20" i="26"/>
  <c r="N19" i="26"/>
  <c r="R19" i="26"/>
  <c r="N18" i="26"/>
  <c r="R18" i="26"/>
  <c r="N17" i="26"/>
  <c r="R17" i="26"/>
  <c r="L22" i="26"/>
  <c r="M22" i="26"/>
  <c r="L21" i="26"/>
  <c r="L19" i="26"/>
  <c r="L18" i="26"/>
  <c r="M18" i="26"/>
  <c r="L17" i="26"/>
  <c r="M17" i="26"/>
  <c r="N9" i="26"/>
  <c r="R9" i="26"/>
  <c r="N8" i="26"/>
  <c r="L9" i="26"/>
  <c r="M9" i="26"/>
  <c r="Y66" i="25"/>
  <c r="Z66" i="25"/>
  <c r="Y47" i="25"/>
  <c r="Z47" i="25"/>
  <c r="Y37" i="25"/>
  <c r="Z37" i="25"/>
  <c r="E27" i="25"/>
  <c r="F27" i="25"/>
  <c r="G27" i="25"/>
  <c r="H27" i="25"/>
  <c r="I27" i="25"/>
  <c r="J27" i="25"/>
  <c r="K27" i="25"/>
  <c r="L27" i="25"/>
  <c r="M27" i="25"/>
  <c r="N27" i="25"/>
  <c r="O27" i="25"/>
  <c r="P27" i="25"/>
  <c r="Q27" i="25"/>
  <c r="R27" i="25"/>
  <c r="S27" i="25"/>
  <c r="T27" i="25"/>
  <c r="U27" i="25"/>
  <c r="V27" i="25"/>
  <c r="W27" i="25"/>
  <c r="X27" i="25"/>
  <c r="Y27" i="25"/>
  <c r="Z27" i="25"/>
  <c r="Q69" i="25"/>
  <c r="Q70" i="25"/>
  <c r="R70" i="25"/>
  <c r="S70" i="25"/>
  <c r="Q71" i="25"/>
  <c r="Q72" i="25"/>
  <c r="R72" i="25"/>
  <c r="S72" i="25"/>
  <c r="Q68" i="25"/>
  <c r="E69" i="25"/>
  <c r="H69" i="25"/>
  <c r="E70" i="25"/>
  <c r="H70" i="25"/>
  <c r="E71" i="25"/>
  <c r="H71" i="25"/>
  <c r="E72" i="25"/>
  <c r="H72" i="25"/>
  <c r="E68" i="25"/>
  <c r="H68" i="25"/>
  <c r="AR68" i="25"/>
  <c r="L51" i="25"/>
  <c r="L50" i="25"/>
  <c r="Q50" i="25"/>
  <c r="R50" i="25"/>
  <c r="S50" i="25"/>
  <c r="E50" i="25"/>
  <c r="H50" i="25"/>
  <c r="E51" i="25"/>
  <c r="H51" i="25"/>
  <c r="AR51" i="25"/>
  <c r="E52" i="25"/>
  <c r="H52" i="25"/>
  <c r="R37" i="25"/>
  <c r="S37" i="25"/>
  <c r="AC20" i="25"/>
  <c r="AD20" i="25"/>
  <c r="AC19" i="25"/>
  <c r="AD19" i="25"/>
  <c r="AE19" i="25"/>
  <c r="AF19" i="25"/>
  <c r="AG19" i="25"/>
  <c r="AC12" i="25"/>
  <c r="B9" i="25"/>
  <c r="AC11" i="25"/>
  <c r="AD11" i="25"/>
  <c r="AE11" i="25"/>
  <c r="AF11" i="25"/>
  <c r="AG11" i="25"/>
  <c r="I11" i="25"/>
  <c r="AC10" i="25"/>
  <c r="AC9" i="25"/>
  <c r="I9" i="25"/>
  <c r="I8" i="25"/>
  <c r="E166" i="16"/>
  <c r="F166" i="16"/>
  <c r="G166" i="16"/>
  <c r="H166" i="16"/>
  <c r="I166" i="16"/>
  <c r="J166" i="16"/>
  <c r="K166" i="16"/>
  <c r="L166" i="16"/>
  <c r="M166" i="16"/>
  <c r="N166" i="16"/>
  <c r="O166" i="16"/>
  <c r="P166" i="16"/>
  <c r="Q166" i="16"/>
  <c r="R166" i="16"/>
  <c r="S166" i="16"/>
  <c r="T166" i="16"/>
  <c r="U166" i="16"/>
  <c r="V166" i="16"/>
  <c r="W166" i="16"/>
  <c r="X166" i="16"/>
  <c r="Y166" i="16"/>
  <c r="Z166" i="16"/>
  <c r="AA166" i="16"/>
  <c r="AB166" i="16"/>
  <c r="AC166" i="16"/>
  <c r="AD166" i="16"/>
  <c r="AE166" i="16"/>
  <c r="AF166" i="16"/>
  <c r="AG166" i="16"/>
  <c r="AH166" i="16"/>
  <c r="AC147" i="16"/>
  <c r="AD147" i="16"/>
  <c r="AC8" i="16"/>
  <c r="AD8" i="16"/>
  <c r="AD112" i="18"/>
  <c r="AE112" i="18"/>
  <c r="AF112" i="18"/>
  <c r="AG112" i="18"/>
  <c r="AD114" i="18"/>
  <c r="AD88" i="18"/>
  <c r="AD89" i="18"/>
  <c r="AD90" i="18"/>
  <c r="AD92" i="18"/>
  <c r="AD67" i="18"/>
  <c r="AD68" i="18"/>
  <c r="AD66" i="18"/>
  <c r="AD31" i="18"/>
  <c r="AD20" i="18"/>
  <c r="AD23" i="18"/>
  <c r="AD73" i="16"/>
  <c r="AD74" i="16"/>
  <c r="AE74" i="16"/>
  <c r="AF74" i="16"/>
  <c r="AG74" i="16"/>
  <c r="AD75" i="16"/>
  <c r="AD71" i="16"/>
  <c r="E69" i="16"/>
  <c r="F69" i="16"/>
  <c r="G69" i="16"/>
  <c r="H69" i="16"/>
  <c r="I69" i="16"/>
  <c r="J69" i="16"/>
  <c r="K69" i="16"/>
  <c r="L69" i="16"/>
  <c r="M69" i="16"/>
  <c r="N69" i="16"/>
  <c r="O69" i="16"/>
  <c r="P69" i="16"/>
  <c r="Q69" i="16"/>
  <c r="R69" i="16"/>
  <c r="S69" i="16"/>
  <c r="T69" i="16"/>
  <c r="U69" i="16"/>
  <c r="V69" i="16"/>
  <c r="W69" i="16"/>
  <c r="X69" i="16"/>
  <c r="Y69" i="16"/>
  <c r="Z69" i="16"/>
  <c r="AA69" i="16"/>
  <c r="AB69" i="16"/>
  <c r="AC69" i="16"/>
  <c r="AD69" i="16"/>
  <c r="AE69" i="16"/>
  <c r="AF69" i="16"/>
  <c r="AG69" i="16"/>
  <c r="AH69" i="16"/>
  <c r="AC30" i="16"/>
  <c r="AD30" i="16"/>
  <c r="AC31" i="16"/>
  <c r="AD31" i="16"/>
  <c r="AC32" i="16"/>
  <c r="AD32" i="16"/>
  <c r="AC33" i="16"/>
  <c r="AD33" i="16"/>
  <c r="AC29" i="16"/>
  <c r="AD29" i="16"/>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AE27" i="16"/>
  <c r="AF27" i="16"/>
  <c r="AG27" i="16"/>
  <c r="AH27" i="16"/>
  <c r="AC172" i="16"/>
  <c r="AD172" i="16"/>
  <c r="AC169" i="16"/>
  <c r="AD169" i="16"/>
  <c r="AD159" i="16"/>
  <c r="AD160" i="16"/>
  <c r="AD161" i="16"/>
  <c r="AD157" i="16"/>
  <c r="AD158" i="16"/>
  <c r="AD137" i="16"/>
  <c r="AD139" i="16"/>
  <c r="AD105" i="16"/>
  <c r="AE105" i="16"/>
  <c r="AF105" i="16"/>
  <c r="AG105" i="16"/>
  <c r="AD104" i="16"/>
  <c r="AD103" i="16"/>
  <c r="AD101" i="16"/>
  <c r="AD94" i="16"/>
  <c r="AD11" i="16"/>
  <c r="F100" i="15"/>
  <c r="G100" i="15"/>
  <c r="F99" i="15"/>
  <c r="G99" i="15"/>
  <c r="F9" i="15"/>
  <c r="G9" i="15"/>
  <c r="F10" i="15"/>
  <c r="G10" i="15"/>
  <c r="F8" i="15"/>
  <c r="G8" i="15"/>
  <c r="N103" i="15"/>
  <c r="R103" i="15"/>
  <c r="N102" i="15"/>
  <c r="E101" i="15"/>
  <c r="I101" i="15"/>
  <c r="E102" i="15"/>
  <c r="I102" i="15"/>
  <c r="E103" i="15"/>
  <c r="I103" i="15"/>
  <c r="N101" i="15"/>
  <c r="L101" i="15"/>
  <c r="B9" i="15"/>
  <c r="N100" i="15"/>
  <c r="R100" i="15"/>
  <c r="L100" i="15"/>
  <c r="M100" i="15"/>
  <c r="K100" i="15"/>
  <c r="J100" i="15"/>
  <c r="E100" i="15"/>
  <c r="H100" i="15"/>
  <c r="Q100" i="15"/>
  <c r="N99" i="15"/>
  <c r="M99" i="15"/>
  <c r="J99" i="15"/>
  <c r="E99" i="15"/>
  <c r="H99" i="15"/>
  <c r="Q99" i="15"/>
  <c r="N72" i="15"/>
  <c r="N71" i="15"/>
  <c r="R71" i="15"/>
  <c r="N70" i="15"/>
  <c r="N69" i="15"/>
  <c r="N68" i="15"/>
  <c r="N67" i="15"/>
  <c r="L68" i="15"/>
  <c r="M68" i="15"/>
  <c r="L69" i="15"/>
  <c r="M69" i="15"/>
  <c r="L70" i="15"/>
  <c r="M70" i="15"/>
  <c r="M71" i="15"/>
  <c r="L72" i="15"/>
  <c r="M72" i="15"/>
  <c r="M67" i="15"/>
  <c r="E68" i="15"/>
  <c r="I68" i="15"/>
  <c r="E69" i="15"/>
  <c r="I69" i="15"/>
  <c r="E70" i="15"/>
  <c r="I70" i="15"/>
  <c r="E71" i="15"/>
  <c r="H71" i="15"/>
  <c r="E72" i="15"/>
  <c r="I72" i="15"/>
  <c r="E67" i="15"/>
  <c r="I67" i="15"/>
  <c r="F69" i="15"/>
  <c r="N37" i="15"/>
  <c r="N36" i="15"/>
  <c r="N39" i="15"/>
  <c r="N38" i="15"/>
  <c r="N35" i="15"/>
  <c r="N34" i="15"/>
  <c r="N10" i="15"/>
  <c r="N9" i="15"/>
  <c r="N8" i="15"/>
  <c r="L9" i="15"/>
  <c r="K9" i="15"/>
  <c r="R66" i="25"/>
  <c r="S66" i="25"/>
  <c r="R47" i="25"/>
  <c r="S4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AC69" i="18"/>
  <c r="AD69" i="18"/>
  <c r="AE69" i="18"/>
  <c r="AF69" i="18"/>
  <c r="AG69" i="18"/>
  <c r="X7" i="16"/>
  <c r="Y7" i="16"/>
  <c r="Z7" i="16"/>
  <c r="AC7" i="16"/>
  <c r="AD7" i="16"/>
  <c r="AT69" i="25"/>
  <c r="AT70" i="25"/>
  <c r="AT71" i="25"/>
  <c r="AT72" i="25"/>
  <c r="AT68" i="25"/>
  <c r="AT50" i="25"/>
  <c r="AT51" i="25"/>
  <c r="AT52" i="25"/>
  <c r="J103" i="15"/>
  <c r="J102" i="15"/>
  <c r="S102" i="15"/>
  <c r="J101" i="15"/>
  <c r="J68" i="15"/>
  <c r="S68" i="15"/>
  <c r="J67" i="15"/>
  <c r="J39" i="15"/>
  <c r="S39" i="15"/>
  <c r="J38" i="15"/>
  <c r="J37" i="15"/>
  <c r="J36" i="15"/>
  <c r="J35" i="15"/>
  <c r="S35" i="15"/>
  <c r="J34" i="15"/>
  <c r="E36" i="26"/>
  <c r="H36" i="26"/>
  <c r="Q36" i="26"/>
  <c r="E37" i="26"/>
  <c r="H37" i="26"/>
  <c r="Q37" i="26"/>
  <c r="E38" i="26"/>
  <c r="E39" i="26"/>
  <c r="I39" i="26"/>
  <c r="E35" i="26"/>
  <c r="H35" i="26"/>
  <c r="Q35" i="26"/>
  <c r="E27" i="26"/>
  <c r="F27" i="26"/>
  <c r="G27" i="26"/>
  <c r="H27" i="26"/>
  <c r="I27" i="26"/>
  <c r="J27" i="26"/>
  <c r="K27" i="26"/>
  <c r="L27" i="26"/>
  <c r="M27" i="26"/>
  <c r="N27" i="26"/>
  <c r="E14" i="26"/>
  <c r="F14" i="26"/>
  <c r="G14" i="26"/>
  <c r="H14" i="26"/>
  <c r="I14" i="26"/>
  <c r="J14" i="26"/>
  <c r="K14" i="26"/>
  <c r="L14" i="26"/>
  <c r="M14" i="26"/>
  <c r="N14" i="26"/>
  <c r="E18" i="26"/>
  <c r="H18" i="26"/>
  <c r="E19" i="26"/>
  <c r="H19" i="26"/>
  <c r="Q19" i="26"/>
  <c r="E20" i="26"/>
  <c r="H20" i="26"/>
  <c r="E21" i="26"/>
  <c r="H21" i="26"/>
  <c r="I21" i="26"/>
  <c r="D22" i="26"/>
  <c r="E22" i="26"/>
  <c r="H22" i="26"/>
  <c r="E17" i="26"/>
  <c r="H17" i="26"/>
  <c r="Q17" i="26"/>
  <c r="E9" i="26"/>
  <c r="H9" i="26"/>
  <c r="I9" i="26"/>
  <c r="E8" i="26"/>
  <c r="H8" i="26"/>
  <c r="I8" i="26"/>
  <c r="E6" i="26"/>
  <c r="F6" i="26"/>
  <c r="G6" i="26"/>
  <c r="I6" i="26"/>
  <c r="J6" i="26"/>
  <c r="K6" i="26"/>
  <c r="L6" i="26"/>
  <c r="M6" i="26"/>
  <c r="N6" i="26"/>
  <c r="E9" i="18"/>
  <c r="H9" i="18"/>
  <c r="I9" i="18"/>
  <c r="E10" i="18"/>
  <c r="H10" i="18"/>
  <c r="E11" i="18"/>
  <c r="H11" i="18"/>
  <c r="I11" i="18"/>
  <c r="E12" i="18"/>
  <c r="H12" i="18"/>
  <c r="AR12" i="18"/>
  <c r="E8" i="18"/>
  <c r="H8" i="18"/>
  <c r="I8" i="18"/>
  <c r="E8" i="16"/>
  <c r="H8" i="16"/>
  <c r="E9" i="16"/>
  <c r="H9" i="16"/>
  <c r="E10" i="16"/>
  <c r="H10" i="16"/>
  <c r="E11" i="16"/>
  <c r="H11" i="16"/>
  <c r="AR11" i="16"/>
  <c r="E7" i="16"/>
  <c r="H7" i="16"/>
  <c r="I7" i="16"/>
  <c r="Q71" i="15"/>
  <c r="E35" i="15"/>
  <c r="H35" i="15"/>
  <c r="Q35" i="15"/>
  <c r="E36" i="15"/>
  <c r="E37" i="15"/>
  <c r="E38" i="15"/>
  <c r="D39" i="15"/>
  <c r="E39" i="15"/>
  <c r="E34" i="15"/>
  <c r="I34" i="15"/>
  <c r="E9" i="15"/>
  <c r="E10" i="15"/>
  <c r="I10" i="15"/>
  <c r="E8" i="15"/>
  <c r="I8" i="15"/>
  <c r="E6" i="15"/>
  <c r="F6" i="15"/>
  <c r="G6" i="15"/>
  <c r="H6" i="15"/>
  <c r="I6" i="15"/>
  <c r="J6" i="15"/>
  <c r="K6" i="15"/>
  <c r="L6" i="15"/>
  <c r="M6" i="15"/>
  <c r="N6" i="15"/>
  <c r="B18" i="26"/>
  <c r="F22" i="26"/>
  <c r="G22" i="26"/>
  <c r="J22" i="26"/>
  <c r="S22" i="26"/>
  <c r="M21" i="26"/>
  <c r="F21" i="26"/>
  <c r="G21" i="26"/>
  <c r="J21" i="26"/>
  <c r="S21" i="26"/>
  <c r="M20" i="26"/>
  <c r="F20" i="26"/>
  <c r="G20" i="26"/>
  <c r="J20" i="26"/>
  <c r="S20" i="26"/>
  <c r="M19" i="26"/>
  <c r="F19" i="26"/>
  <c r="G19" i="26"/>
  <c r="J19" i="26"/>
  <c r="S19" i="26"/>
  <c r="F18" i="26"/>
  <c r="G18" i="26"/>
  <c r="J18" i="26"/>
  <c r="S18" i="26"/>
  <c r="F17" i="26"/>
  <c r="G17" i="26"/>
  <c r="J17" i="26"/>
  <c r="S17" i="26"/>
  <c r="F39" i="26"/>
  <c r="G39" i="26"/>
  <c r="J39" i="26"/>
  <c r="S39" i="26"/>
  <c r="R39" i="26"/>
  <c r="M38" i="26"/>
  <c r="F38" i="26"/>
  <c r="G38" i="26"/>
  <c r="T38" i="26"/>
  <c r="J38" i="26"/>
  <c r="S38" i="26"/>
  <c r="R38" i="26"/>
  <c r="F37" i="26"/>
  <c r="G37" i="26"/>
  <c r="J37" i="26"/>
  <c r="S37" i="26"/>
  <c r="R37" i="26"/>
  <c r="I37" i="26"/>
  <c r="M36" i="26"/>
  <c r="F36" i="26"/>
  <c r="G36" i="26"/>
  <c r="J36" i="26"/>
  <c r="S36" i="26"/>
  <c r="M35" i="26"/>
  <c r="F35" i="26"/>
  <c r="G35" i="26"/>
  <c r="J35" i="26"/>
  <c r="S35" i="26"/>
  <c r="R35" i="26"/>
  <c r="I35" i="26"/>
  <c r="K9" i="26"/>
  <c r="AC68" i="25"/>
  <c r="AD68" i="25"/>
  <c r="AC70" i="25"/>
  <c r="AD70" i="25"/>
  <c r="AC134" i="16"/>
  <c r="AD134" i="16"/>
  <c r="AT10" i="18"/>
  <c r="J10" i="15"/>
  <c r="J9" i="15"/>
  <c r="S9" i="15"/>
  <c r="J8" i="15"/>
  <c r="X69" i="25"/>
  <c r="Y69" i="25"/>
  <c r="Z69" i="25"/>
  <c r="AS69" i="25"/>
  <c r="AC69" i="25"/>
  <c r="AD69" i="25"/>
  <c r="X70" i="25"/>
  <c r="X71" i="25"/>
  <c r="Y71" i="25"/>
  <c r="Z71" i="25"/>
  <c r="AC71" i="25"/>
  <c r="AD71" i="25"/>
  <c r="X72" i="25"/>
  <c r="Y72" i="25"/>
  <c r="Z72" i="25"/>
  <c r="AC72" i="25"/>
  <c r="AD72" i="25"/>
  <c r="X68" i="25"/>
  <c r="Y68" i="25"/>
  <c r="Z68" i="25"/>
  <c r="X50" i="25"/>
  <c r="Y50" i="25"/>
  <c r="Z50" i="25"/>
  <c r="AC50" i="25"/>
  <c r="AD50" i="25"/>
  <c r="X51" i="25"/>
  <c r="AC51" i="25"/>
  <c r="AD51" i="25"/>
  <c r="X52" i="25"/>
  <c r="AC40" i="25"/>
  <c r="AE41" i="25"/>
  <c r="AF41" i="25"/>
  <c r="AG41" i="25"/>
  <c r="AC42" i="25"/>
  <c r="AC39" i="25"/>
  <c r="AD39" i="25"/>
  <c r="AC30" i="25"/>
  <c r="AD30" i="25"/>
  <c r="AE31" i="25"/>
  <c r="AF31" i="25"/>
  <c r="AG31" i="25"/>
  <c r="AC32" i="25"/>
  <c r="AC29" i="25"/>
  <c r="AD29" i="25"/>
  <c r="AE22" i="25"/>
  <c r="AF22" i="25"/>
  <c r="AG22" i="25"/>
  <c r="AT9" i="18"/>
  <c r="AT12" i="18"/>
  <c r="X9" i="18"/>
  <c r="Y9" i="18"/>
  <c r="Z9" i="18"/>
  <c r="AC9" i="18"/>
  <c r="AD9" i="18"/>
  <c r="X10" i="18"/>
  <c r="Y10" i="18"/>
  <c r="Z10" i="18"/>
  <c r="AC10" i="18"/>
  <c r="AD10" i="18"/>
  <c r="X11" i="18"/>
  <c r="Y11" i="18"/>
  <c r="Z11" i="18"/>
  <c r="AO11" i="18"/>
  <c r="AC11" i="18"/>
  <c r="AD11" i="18"/>
  <c r="X12" i="18"/>
  <c r="Y12" i="18"/>
  <c r="Z12" i="18"/>
  <c r="AC12" i="18"/>
  <c r="AD12" i="18"/>
  <c r="X8" i="18"/>
  <c r="Y8" i="18"/>
  <c r="Z8" i="18"/>
  <c r="AC8" i="18"/>
  <c r="AD8" i="18"/>
  <c r="AC21" i="18"/>
  <c r="AD21" i="18"/>
  <c r="AC22" i="18"/>
  <c r="AD22" i="18"/>
  <c r="AC19" i="18"/>
  <c r="AD19" i="18"/>
  <c r="AC32" i="18"/>
  <c r="AD32" i="18"/>
  <c r="AE32" i="18"/>
  <c r="AF32" i="18"/>
  <c r="AG32" i="18"/>
  <c r="AC33" i="18"/>
  <c r="AD33" i="18"/>
  <c r="AE33" i="18"/>
  <c r="AF33" i="18"/>
  <c r="AG33" i="18"/>
  <c r="AC34" i="18"/>
  <c r="AD34" i="18"/>
  <c r="AC35" i="18"/>
  <c r="AD35" i="18"/>
  <c r="AC36" i="18"/>
  <c r="AD36" i="18"/>
  <c r="AC45" i="18"/>
  <c r="AD45" i="18"/>
  <c r="AE46" i="18"/>
  <c r="AF46" i="18"/>
  <c r="AG46" i="18"/>
  <c r="AC47" i="18"/>
  <c r="AD47" i="18"/>
  <c r="AC48" i="18"/>
  <c r="AD48" i="18"/>
  <c r="AC65" i="18"/>
  <c r="AD65" i="18"/>
  <c r="AC44" i="18"/>
  <c r="AD44" i="18"/>
  <c r="AC87" i="18"/>
  <c r="AD87" i="18"/>
  <c r="AC113" i="18"/>
  <c r="AD113" i="18"/>
  <c r="AC111" i="18"/>
  <c r="AD111" i="18"/>
  <c r="AC110" i="18"/>
  <c r="AD110" i="18"/>
  <c r="X8" i="16"/>
  <c r="Y8" i="16"/>
  <c r="Z8" i="16"/>
  <c r="AS8" i="16"/>
  <c r="X9" i="16"/>
  <c r="Y9" i="16"/>
  <c r="Z9" i="16"/>
  <c r="AD9" i="16"/>
  <c r="X10" i="16"/>
  <c r="Y10" i="16"/>
  <c r="Z10" i="16"/>
  <c r="AD10" i="16"/>
  <c r="X11" i="16"/>
  <c r="Y11" i="16"/>
  <c r="Z11" i="16"/>
  <c r="AS11" i="16"/>
  <c r="AC19" i="16"/>
  <c r="AD19" i="16"/>
  <c r="AC20" i="16"/>
  <c r="AD20" i="16"/>
  <c r="AC21" i="16"/>
  <c r="AD21" i="16"/>
  <c r="AC22" i="16"/>
  <c r="AD22" i="16"/>
  <c r="AC18" i="16"/>
  <c r="AD18" i="16"/>
  <c r="AC90" i="16"/>
  <c r="AD90" i="16"/>
  <c r="AC91" i="16"/>
  <c r="AD91" i="16"/>
  <c r="AD92" i="16"/>
  <c r="AD93" i="16"/>
  <c r="AC102" i="16"/>
  <c r="AD102" i="16"/>
  <c r="AE102" i="16"/>
  <c r="AF102" i="16"/>
  <c r="AG102" i="16"/>
  <c r="AD124" i="16"/>
  <c r="AC125" i="16"/>
  <c r="AD125" i="16"/>
  <c r="AC126" i="16"/>
  <c r="AD126" i="16"/>
  <c r="AC127" i="16"/>
  <c r="AD127" i="16"/>
  <c r="AC123" i="16"/>
  <c r="AD123" i="16"/>
  <c r="AC135" i="16"/>
  <c r="AD135" i="16"/>
  <c r="AC138" i="16"/>
  <c r="AD138" i="16"/>
  <c r="AC146" i="16"/>
  <c r="AD148" i="16"/>
  <c r="AC149" i="16"/>
  <c r="AD149" i="16"/>
  <c r="AC150" i="16"/>
  <c r="AD150" i="16"/>
  <c r="F9" i="26"/>
  <c r="G9" i="26"/>
  <c r="J9" i="26"/>
  <c r="S9" i="26"/>
  <c r="B9" i="26"/>
  <c r="AC9" i="26"/>
  <c r="M8" i="26"/>
  <c r="F8" i="26"/>
  <c r="G8" i="26"/>
  <c r="J8" i="26"/>
  <c r="S8" i="26"/>
  <c r="R8" i="26"/>
  <c r="R68" i="25"/>
  <c r="S68" i="25"/>
  <c r="G68" i="25"/>
  <c r="R69" i="25"/>
  <c r="S69" i="25"/>
  <c r="AW69" i="25"/>
  <c r="AK69" i="25"/>
  <c r="G69" i="25"/>
  <c r="F70" i="25"/>
  <c r="G70" i="25"/>
  <c r="R71" i="25"/>
  <c r="S71" i="25"/>
  <c r="AW71" i="25"/>
  <c r="G71" i="25"/>
  <c r="G72" i="25"/>
  <c r="F51" i="25"/>
  <c r="G51" i="25"/>
  <c r="F50" i="25"/>
  <c r="G50" i="25"/>
  <c r="Q51" i="25"/>
  <c r="R51" i="25"/>
  <c r="S51" i="25"/>
  <c r="Q52" i="25"/>
  <c r="R52" i="25"/>
  <c r="S52" i="25"/>
  <c r="AW52" i="25"/>
  <c r="F52" i="25"/>
  <c r="G52" i="25"/>
  <c r="I51" i="25"/>
  <c r="AK50" i="25"/>
  <c r="AK51" i="25"/>
  <c r="AK52" i="25"/>
  <c r="AK49" i="25"/>
  <c r="AO40" i="25"/>
  <c r="AO39" i="25"/>
  <c r="AK72" i="25"/>
  <c r="AK70" i="25"/>
  <c r="AK71" i="25"/>
  <c r="AK68" i="25"/>
  <c r="I40" i="25"/>
  <c r="AB40" i="25"/>
  <c r="I42" i="25"/>
  <c r="I39" i="25"/>
  <c r="AB39" i="25"/>
  <c r="AA39" i="25"/>
  <c r="I32" i="25"/>
  <c r="AB32" i="25"/>
  <c r="AO32" i="25"/>
  <c r="AO22" i="25"/>
  <c r="AA32" i="25"/>
  <c r="AA27" i="25"/>
  <c r="AB27" i="25"/>
  <c r="AC27" i="25"/>
  <c r="AD27" i="25"/>
  <c r="AE27" i="25"/>
  <c r="AF27" i="25"/>
  <c r="AG27" i="25"/>
  <c r="AH27" i="25"/>
  <c r="E6" i="25"/>
  <c r="F6"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M101" i="15"/>
  <c r="M102" i="15"/>
  <c r="M103" i="15"/>
  <c r="AK9" i="18"/>
  <c r="AK10" i="18"/>
  <c r="AK11" i="18"/>
  <c r="AK12" i="18"/>
  <c r="V108" i="18"/>
  <c r="W108" i="18"/>
  <c r="X108" i="18"/>
  <c r="Y108" i="18"/>
  <c r="Z108" i="18"/>
  <c r="AA108" i="18"/>
  <c r="AB108" i="18"/>
  <c r="AC108" i="18"/>
  <c r="AD108" i="18"/>
  <c r="AE108" i="18"/>
  <c r="AF108" i="18"/>
  <c r="AG108" i="18"/>
  <c r="AH108" i="18"/>
  <c r="U85" i="18"/>
  <c r="V85" i="18"/>
  <c r="W85" i="18"/>
  <c r="X85" i="18"/>
  <c r="Y85" i="18"/>
  <c r="Z85" i="18"/>
  <c r="AA85" i="18"/>
  <c r="AB85" i="18"/>
  <c r="AC85" i="18"/>
  <c r="AD85" i="18"/>
  <c r="AE85" i="18"/>
  <c r="AF85" i="18"/>
  <c r="AG85" i="18"/>
  <c r="AH85" i="18"/>
  <c r="G63" i="18"/>
  <c r="H63" i="18"/>
  <c r="I63" i="18"/>
  <c r="J63" i="18"/>
  <c r="K63" i="18"/>
  <c r="L63" i="18"/>
  <c r="M63" i="18"/>
  <c r="N63" i="18"/>
  <c r="O63" i="18"/>
  <c r="P63" i="18"/>
  <c r="Q63" i="18"/>
  <c r="R63" i="18"/>
  <c r="S63" i="18"/>
  <c r="T63" i="18"/>
  <c r="U63" i="18"/>
  <c r="V63" i="18"/>
  <c r="W63" i="18"/>
  <c r="X63" i="18"/>
  <c r="Y63" i="18"/>
  <c r="Z63" i="18"/>
  <c r="AA63" i="18"/>
  <c r="AB63" i="18"/>
  <c r="AC63" i="18"/>
  <c r="AD63" i="18"/>
  <c r="AE63" i="18"/>
  <c r="AF63" i="18"/>
  <c r="AG63" i="18"/>
  <c r="AH63" i="18"/>
  <c r="E42" i="18"/>
  <c r="F42" i="18"/>
  <c r="G42" i="18"/>
  <c r="H42" i="18"/>
  <c r="I42" i="18"/>
  <c r="J42" i="18"/>
  <c r="K42" i="18"/>
  <c r="L42" i="18"/>
  <c r="M42" i="18"/>
  <c r="N42" i="18"/>
  <c r="O42" i="18"/>
  <c r="P42" i="18"/>
  <c r="Q42" i="18"/>
  <c r="R42" i="18"/>
  <c r="S42" i="18"/>
  <c r="T42" i="18"/>
  <c r="U42" i="18"/>
  <c r="V42" i="18"/>
  <c r="W42" i="18"/>
  <c r="X42" i="18"/>
  <c r="Y42" i="18"/>
  <c r="Z42" i="18"/>
  <c r="AA42" i="18"/>
  <c r="AB42" i="18"/>
  <c r="AC42" i="18"/>
  <c r="AD42" i="18"/>
  <c r="AE42" i="18"/>
  <c r="AF42" i="18"/>
  <c r="AG42" i="18"/>
  <c r="AH42" i="18"/>
  <c r="E29" i="18"/>
  <c r="F29" i="18"/>
  <c r="G29" i="18"/>
  <c r="H29" i="18"/>
  <c r="I29" i="18"/>
  <c r="J29" i="18"/>
  <c r="K29" i="18"/>
  <c r="L29" i="18"/>
  <c r="M29" i="18"/>
  <c r="N29" i="18"/>
  <c r="O29" i="18"/>
  <c r="P29" i="18"/>
  <c r="Q29" i="18"/>
  <c r="R29" i="18"/>
  <c r="S29" i="18"/>
  <c r="T29" i="18"/>
  <c r="U29" i="18"/>
  <c r="V29" i="18"/>
  <c r="W29" i="18"/>
  <c r="X29" i="18"/>
  <c r="Y29" i="18"/>
  <c r="Z29" i="18"/>
  <c r="AA29" i="18"/>
  <c r="AB29" i="18"/>
  <c r="AC29" i="18"/>
  <c r="AD29" i="18"/>
  <c r="AE29" i="18"/>
  <c r="AF29" i="18"/>
  <c r="AG29" i="18"/>
  <c r="AH29" i="18"/>
  <c r="E17" i="18"/>
  <c r="F17" i="18"/>
  <c r="G17" i="18"/>
  <c r="H17" i="18"/>
  <c r="I17" i="18"/>
  <c r="J17" i="18"/>
  <c r="K17" i="18"/>
  <c r="L17" i="18"/>
  <c r="M17" i="18"/>
  <c r="N17" i="18"/>
  <c r="O17" i="18"/>
  <c r="P17" i="18"/>
  <c r="Q17" i="18"/>
  <c r="R17" i="18"/>
  <c r="S17" i="18"/>
  <c r="T17" i="18"/>
  <c r="U17" i="18"/>
  <c r="V17" i="18"/>
  <c r="W17" i="18"/>
  <c r="X17" i="18"/>
  <c r="Y17" i="18"/>
  <c r="Z17" i="18"/>
  <c r="AA17" i="18"/>
  <c r="AB17" i="18"/>
  <c r="AC17" i="18"/>
  <c r="AD17" i="18"/>
  <c r="AE17" i="18"/>
  <c r="AF17" i="18"/>
  <c r="AG17" i="18"/>
  <c r="AH17" i="18"/>
  <c r="E6" i="18"/>
  <c r="F6" i="18"/>
  <c r="G6" i="18"/>
  <c r="H6" i="18"/>
  <c r="I6" i="18"/>
  <c r="J6" i="18"/>
  <c r="K6" i="18"/>
  <c r="L6" i="18"/>
  <c r="M6" i="18"/>
  <c r="N6" i="18"/>
  <c r="O6" i="18"/>
  <c r="P6" i="18"/>
  <c r="Q6" i="18"/>
  <c r="R6" i="18"/>
  <c r="S6" i="18"/>
  <c r="T6" i="18"/>
  <c r="U6" i="18"/>
  <c r="V6" i="18"/>
  <c r="W6" i="18"/>
  <c r="X6" i="18"/>
  <c r="Y6" i="18"/>
  <c r="Z6" i="18"/>
  <c r="AA6" i="18"/>
  <c r="AB6" i="18"/>
  <c r="AC6" i="18"/>
  <c r="AD6" i="18"/>
  <c r="AE6" i="18"/>
  <c r="AF6" i="18"/>
  <c r="AG6" i="18"/>
  <c r="AH6" i="18"/>
  <c r="E99" i="16"/>
  <c r="F99" i="16"/>
  <c r="G99" i="16"/>
  <c r="H99" i="16"/>
  <c r="I99" i="16"/>
  <c r="J99" i="16"/>
  <c r="K99" i="16"/>
  <c r="L99" i="16"/>
  <c r="M99" i="16"/>
  <c r="N99" i="16"/>
  <c r="O99" i="16"/>
  <c r="P99" i="16"/>
  <c r="Q99" i="16"/>
  <c r="R99" i="16"/>
  <c r="S99" i="16"/>
  <c r="T99" i="16"/>
  <c r="U99" i="16"/>
  <c r="V99" i="16"/>
  <c r="W99" i="16"/>
  <c r="X99" i="16"/>
  <c r="Y99" i="16"/>
  <c r="Z99" i="16"/>
  <c r="AA99" i="16"/>
  <c r="AB99" i="16"/>
  <c r="AC99" i="16"/>
  <c r="AD99" i="16"/>
  <c r="AE99" i="16"/>
  <c r="AF99" i="16"/>
  <c r="AG99" i="16"/>
  <c r="AH99" i="16"/>
  <c r="G85" i="18"/>
  <c r="H85" i="18"/>
  <c r="I85" i="18"/>
  <c r="J85" i="18"/>
  <c r="K85" i="18"/>
  <c r="L85" i="18"/>
  <c r="M85" i="18"/>
  <c r="N85" i="18"/>
  <c r="O85" i="18"/>
  <c r="P85" i="18"/>
  <c r="Q85" i="18"/>
  <c r="E121" i="16"/>
  <c r="F121" i="16"/>
  <c r="G121" i="16"/>
  <c r="H121" i="16"/>
  <c r="I121" i="16"/>
  <c r="J121" i="16"/>
  <c r="K121" i="16"/>
  <c r="L121" i="16"/>
  <c r="M121" i="16"/>
  <c r="N121" i="16"/>
  <c r="O121" i="16"/>
  <c r="P121" i="16"/>
  <c r="Q121" i="16"/>
  <c r="R121" i="16"/>
  <c r="S121" i="16"/>
  <c r="T121" i="16"/>
  <c r="U121" i="16"/>
  <c r="V121" i="16"/>
  <c r="W121" i="16"/>
  <c r="X121" i="16"/>
  <c r="Y121" i="16"/>
  <c r="Z121" i="16"/>
  <c r="AA121" i="16"/>
  <c r="AB121" i="16"/>
  <c r="AC121" i="16"/>
  <c r="AD121" i="16"/>
  <c r="AE121" i="16"/>
  <c r="AF121" i="16"/>
  <c r="AG121" i="16"/>
  <c r="AH121" i="16"/>
  <c r="E181" i="16"/>
  <c r="F181" i="16"/>
  <c r="G181" i="16"/>
  <c r="H181" i="16"/>
  <c r="I181" i="16"/>
  <c r="J181" i="16"/>
  <c r="K181" i="16"/>
  <c r="L181" i="16"/>
  <c r="M181" i="16"/>
  <c r="N181" i="16"/>
  <c r="O181" i="16"/>
  <c r="P181" i="16"/>
  <c r="Q181" i="16"/>
  <c r="R181" i="16"/>
  <c r="S181" i="16"/>
  <c r="T181" i="16"/>
  <c r="U181" i="16"/>
  <c r="V181" i="16"/>
  <c r="W181" i="16"/>
  <c r="X181" i="16"/>
  <c r="Y181" i="16"/>
  <c r="Z181" i="16"/>
  <c r="AA181" i="16"/>
  <c r="AB181" i="16"/>
  <c r="AC181" i="16"/>
  <c r="AD181" i="16"/>
  <c r="AE181" i="16"/>
  <c r="AF181" i="16"/>
  <c r="AG181" i="16"/>
  <c r="AH181" i="16"/>
  <c r="E155" i="16"/>
  <c r="F155" i="16"/>
  <c r="G155" i="16"/>
  <c r="H155" i="16"/>
  <c r="I155" i="16"/>
  <c r="J155" i="16"/>
  <c r="K155" i="16"/>
  <c r="L155" i="16"/>
  <c r="M155" i="16"/>
  <c r="N155" i="16"/>
  <c r="O155" i="16"/>
  <c r="P155" i="16"/>
  <c r="Q155" i="16"/>
  <c r="R155" i="16"/>
  <c r="S155" i="16"/>
  <c r="T155" i="16"/>
  <c r="U155" i="16"/>
  <c r="V155" i="16"/>
  <c r="W155" i="16"/>
  <c r="X155" i="16"/>
  <c r="Y155" i="16"/>
  <c r="Z155" i="16"/>
  <c r="AA155" i="16"/>
  <c r="AB155" i="16"/>
  <c r="AC155" i="16"/>
  <c r="AD155" i="16"/>
  <c r="AE155" i="16"/>
  <c r="AF155" i="16"/>
  <c r="AG155" i="16"/>
  <c r="AH155" i="16"/>
  <c r="E144" i="16"/>
  <c r="F144" i="16"/>
  <c r="G144" i="16"/>
  <c r="H144" i="16"/>
  <c r="I144" i="16"/>
  <c r="J144" i="16"/>
  <c r="K144" i="16"/>
  <c r="L144" i="16"/>
  <c r="M144" i="16"/>
  <c r="N144" i="16"/>
  <c r="O144" i="16"/>
  <c r="P144" i="16"/>
  <c r="Q144" i="16"/>
  <c r="R144" i="16"/>
  <c r="S144" i="16"/>
  <c r="T144" i="16"/>
  <c r="U144" i="16"/>
  <c r="V144" i="16"/>
  <c r="W144" i="16"/>
  <c r="X144" i="16"/>
  <c r="Y144" i="16"/>
  <c r="Z144" i="16"/>
  <c r="AA144" i="16"/>
  <c r="AB144" i="16"/>
  <c r="AC144" i="16"/>
  <c r="AD144" i="16"/>
  <c r="AE144" i="16"/>
  <c r="AF144" i="16"/>
  <c r="AG144" i="16"/>
  <c r="AH144" i="16"/>
  <c r="E132" i="16"/>
  <c r="F132" i="16"/>
  <c r="G132" i="16"/>
  <c r="H132" i="16"/>
  <c r="I132" i="16"/>
  <c r="J132" i="16"/>
  <c r="K132" i="16"/>
  <c r="L132" i="16"/>
  <c r="M132" i="16"/>
  <c r="N132" i="16"/>
  <c r="O132" i="16"/>
  <c r="P132" i="16"/>
  <c r="Q132" i="16"/>
  <c r="R132" i="16"/>
  <c r="S132" i="16"/>
  <c r="T132" i="16"/>
  <c r="U132" i="16"/>
  <c r="V132" i="16"/>
  <c r="W132" i="16"/>
  <c r="X132" i="16"/>
  <c r="Y132" i="16"/>
  <c r="Z132" i="16"/>
  <c r="AA132" i="16"/>
  <c r="AB132" i="16"/>
  <c r="AC132" i="16"/>
  <c r="AD132" i="16"/>
  <c r="AE132" i="16"/>
  <c r="AF132" i="16"/>
  <c r="AG132" i="16"/>
  <c r="AH132" i="16"/>
  <c r="E88" i="16"/>
  <c r="F88" i="16"/>
  <c r="G88" i="16"/>
  <c r="H88" i="16"/>
  <c r="I88" i="16"/>
  <c r="J88" i="16"/>
  <c r="K88" i="16"/>
  <c r="L88" i="16"/>
  <c r="M88" i="16"/>
  <c r="N88" i="16"/>
  <c r="O88" i="16"/>
  <c r="P88" i="16"/>
  <c r="Q88" i="16"/>
  <c r="R88" i="16"/>
  <c r="S88" i="16"/>
  <c r="T88" i="16"/>
  <c r="U88" i="16"/>
  <c r="V88" i="16"/>
  <c r="W88" i="16"/>
  <c r="X88" i="16"/>
  <c r="Y88" i="16"/>
  <c r="Z88" i="16"/>
  <c r="AA88" i="16"/>
  <c r="AB88" i="16"/>
  <c r="AC88" i="16"/>
  <c r="AD88" i="16"/>
  <c r="AE88" i="16"/>
  <c r="AF88" i="16"/>
  <c r="AG88" i="16"/>
  <c r="AH88" i="16"/>
  <c r="E16" i="16"/>
  <c r="F16" i="16"/>
  <c r="G16" i="16"/>
  <c r="H16" i="16"/>
  <c r="I16" i="16"/>
  <c r="J16" i="16"/>
  <c r="K16" i="16"/>
  <c r="L16" i="16"/>
  <c r="M16" i="16"/>
  <c r="N16" i="16"/>
  <c r="O16" i="16"/>
  <c r="P16" i="16"/>
  <c r="Q16" i="16"/>
  <c r="R16" i="16"/>
  <c r="S16" i="16"/>
  <c r="T16" i="16"/>
  <c r="U16" i="16"/>
  <c r="V16" i="16"/>
  <c r="W16" i="16"/>
  <c r="X16" i="16"/>
  <c r="Y16" i="16"/>
  <c r="Z16" i="16"/>
  <c r="AA16" i="16"/>
  <c r="AB16" i="16"/>
  <c r="AC16" i="16"/>
  <c r="AD16" i="16"/>
  <c r="AE16" i="16"/>
  <c r="AF16" i="16"/>
  <c r="AG16" i="16"/>
  <c r="AH16" i="16"/>
  <c r="E5" i="16"/>
  <c r="F5" i="16"/>
  <c r="G5" i="16"/>
  <c r="H5" i="16"/>
  <c r="I5" i="16"/>
  <c r="J5" i="16"/>
  <c r="K5" i="16"/>
  <c r="L5" i="16"/>
  <c r="M5" i="16"/>
  <c r="N5" i="16"/>
  <c r="O5" i="16"/>
  <c r="P5" i="16"/>
  <c r="Q5" i="16"/>
  <c r="R5" i="16"/>
  <c r="S5" i="16"/>
  <c r="T5" i="16"/>
  <c r="U5" i="16"/>
  <c r="V5" i="16"/>
  <c r="W5" i="16"/>
  <c r="X5" i="16"/>
  <c r="Y5" i="16"/>
  <c r="Z5" i="16"/>
  <c r="AA5" i="16"/>
  <c r="AB5" i="16"/>
  <c r="AC5" i="16"/>
  <c r="AD5" i="16"/>
  <c r="AE5" i="16"/>
  <c r="AF5" i="16"/>
  <c r="AG5" i="16"/>
  <c r="AH5" i="16"/>
  <c r="F102" i="15"/>
  <c r="G102" i="15"/>
  <c r="F101" i="15"/>
  <c r="G101" i="15"/>
  <c r="F103" i="15"/>
  <c r="G103" i="15"/>
  <c r="F68" i="15"/>
  <c r="G68" i="15"/>
  <c r="G69" i="15"/>
  <c r="F70" i="15"/>
  <c r="G70" i="15"/>
  <c r="F71" i="15"/>
  <c r="G71" i="15"/>
  <c r="F72" i="15"/>
  <c r="G72" i="15"/>
  <c r="F67" i="15"/>
  <c r="G67" i="15"/>
  <c r="F35" i="15"/>
  <c r="G35" i="15"/>
  <c r="F36" i="15"/>
  <c r="G36" i="15"/>
  <c r="F37" i="15"/>
  <c r="G37" i="15"/>
  <c r="F38" i="15"/>
  <c r="G38" i="15"/>
  <c r="F39" i="15"/>
  <c r="G39" i="15"/>
  <c r="F34" i="15"/>
  <c r="G34" i="15"/>
  <c r="M35" i="15"/>
  <c r="M36" i="15"/>
  <c r="L37" i="15"/>
  <c r="M37" i="15"/>
  <c r="M38" i="15"/>
  <c r="M39" i="15"/>
  <c r="M34" i="15"/>
  <c r="M9" i="15"/>
  <c r="T9" i="15"/>
  <c r="M10" i="15"/>
  <c r="T10" i="15"/>
  <c r="M8" i="15"/>
  <c r="E108" i="18"/>
  <c r="F108" i="18"/>
  <c r="G108" i="18"/>
  <c r="H108" i="18"/>
  <c r="I108" i="18"/>
  <c r="J108" i="18"/>
  <c r="K108" i="18"/>
  <c r="L108" i="18"/>
  <c r="M108" i="18"/>
  <c r="N108" i="18"/>
  <c r="O108" i="18"/>
  <c r="P108" i="18"/>
  <c r="Q108" i="18"/>
  <c r="R108" i="18"/>
  <c r="AC72" i="16"/>
  <c r="AD72" i="16"/>
  <c r="AE72" i="16"/>
  <c r="AF72" i="16"/>
  <c r="AG72" i="16"/>
  <c r="AT11" i="18"/>
  <c r="AT8" i="18"/>
  <c r="S101" i="15"/>
  <c r="S103" i="15"/>
  <c r="R102" i="15"/>
  <c r="R101" i="15"/>
  <c r="R67" i="15"/>
  <c r="R68" i="15"/>
  <c r="R69" i="15"/>
  <c r="R70" i="15"/>
  <c r="R72" i="15"/>
  <c r="K103" i="15"/>
  <c r="J69" i="15"/>
  <c r="S69" i="15"/>
  <c r="J70" i="15"/>
  <c r="S70" i="15"/>
  <c r="J71" i="15"/>
  <c r="S71" i="15"/>
  <c r="J72" i="15"/>
  <c r="S72" i="15"/>
  <c r="S67" i="15"/>
  <c r="S100" i="15"/>
  <c r="S99" i="15"/>
  <c r="R99" i="15"/>
  <c r="S36" i="15"/>
  <c r="S37" i="15"/>
  <c r="S38" i="15"/>
  <c r="S34" i="15"/>
  <c r="R35" i="15"/>
  <c r="R36" i="15"/>
  <c r="R37" i="15"/>
  <c r="R38" i="15"/>
  <c r="R39" i="15"/>
  <c r="R34" i="15"/>
  <c r="I160" i="16"/>
  <c r="S10" i="15"/>
  <c r="R10" i="15"/>
  <c r="K10" i="15"/>
  <c r="R9" i="15"/>
  <c r="S8" i="15"/>
  <c r="R8" i="15"/>
  <c r="I111" i="18"/>
  <c r="I19" i="18"/>
  <c r="AO48" i="18"/>
  <c r="AD136" i="16"/>
  <c r="AD146" i="16"/>
  <c r="I135" i="16"/>
  <c r="I94" i="16"/>
  <c r="H9" i="15"/>
  <c r="Q9" i="15"/>
  <c r="I9" i="15"/>
  <c r="H34" i="15"/>
  <c r="Q34" i="15"/>
  <c r="H37" i="15"/>
  <c r="Q37" i="15"/>
  <c r="I37" i="15"/>
  <c r="H8" i="15"/>
  <c r="Q8" i="15"/>
  <c r="I36" i="15"/>
  <c r="H36" i="15"/>
  <c r="Q36" i="15"/>
  <c r="I35" i="15"/>
  <c r="AL42" i="25"/>
  <c r="AL19" i="25"/>
  <c r="AL40" i="25"/>
  <c r="AE49" i="25"/>
  <c r="AF49" i="25"/>
  <c r="AG49" i="25"/>
  <c r="AE30" i="25"/>
  <c r="AF30" i="25"/>
  <c r="AG30" i="25"/>
  <c r="T19" i="26"/>
  <c r="I67" i="18"/>
  <c r="AB67" i="18"/>
  <c r="AO45" i="18"/>
  <c r="AA94" i="16"/>
  <c r="I90" i="16"/>
  <c r="AA105" i="16"/>
  <c r="AO42" i="25"/>
  <c r="AB42" i="25"/>
  <c r="AA42" i="25"/>
  <c r="AR73" i="16"/>
  <c r="AS20" i="16"/>
  <c r="I32" i="16"/>
  <c r="AR183" i="16"/>
  <c r="AR186" i="16"/>
  <c r="I186" i="16"/>
  <c r="AS74" i="16"/>
  <c r="AL92" i="16"/>
  <c r="AV52" i="16"/>
  <c r="AL52" i="16"/>
  <c r="AS54" i="16"/>
  <c r="AL50" i="16"/>
  <c r="AL54" i="16"/>
  <c r="I39" i="15"/>
  <c r="H39" i="15"/>
  <c r="Q39" i="15"/>
  <c r="H72" i="15"/>
  <c r="Q72" i="15"/>
  <c r="I100" i="15"/>
  <c r="H70" i="15"/>
  <c r="Q70" i="15"/>
  <c r="AV69" i="25"/>
  <c r="AS68" i="25"/>
  <c r="AO68" i="25"/>
  <c r="AA68" i="25"/>
  <c r="AL69" i="25"/>
  <c r="Q9" i="26"/>
  <c r="H103" i="15"/>
  <c r="Q103" i="15"/>
  <c r="AT9" i="25"/>
  <c r="H69" i="15"/>
  <c r="Q69" i="15"/>
  <c r="AS10" i="25"/>
  <c r="Q18" i="26"/>
  <c r="I18" i="26"/>
  <c r="I17" i="26"/>
  <c r="AS8" i="25"/>
  <c r="AO8" i="25"/>
  <c r="AB8" i="25"/>
  <c r="AA8" i="25"/>
  <c r="Y132" i="18"/>
  <c r="Z132" i="18"/>
  <c r="AE132" i="18"/>
  <c r="AF132" i="18"/>
  <c r="AG132" i="18"/>
  <c r="AV19" i="25"/>
  <c r="AV40" i="25"/>
  <c r="AR122" i="18"/>
  <c r="AA122" i="18"/>
  <c r="I122" i="18"/>
  <c r="Y51" i="16"/>
  <c r="Z51" i="16"/>
  <c r="AS51" i="16"/>
  <c r="AS122" i="18"/>
  <c r="AE123" i="18"/>
  <c r="AF123" i="18"/>
  <c r="AG123" i="18"/>
  <c r="AH123" i="18"/>
  <c r="Y123" i="18"/>
  <c r="Z123" i="18"/>
  <c r="AO123" i="18"/>
  <c r="AH11" i="25"/>
  <c r="T37" i="15"/>
  <c r="AU72" i="25"/>
  <c r="AW72" i="25"/>
  <c r="AU70" i="25"/>
  <c r="AW70" i="25"/>
  <c r="BE32" i="16"/>
  <c r="BE8" i="16"/>
  <c r="AO20" i="25"/>
  <c r="AE90" i="18"/>
  <c r="AF90" i="18"/>
  <c r="AG90" i="18"/>
  <c r="AW51" i="25"/>
  <c r="Q21" i="26"/>
  <c r="T34" i="15"/>
  <c r="AO69" i="25"/>
  <c r="AE20" i="25"/>
  <c r="AF20" i="25"/>
  <c r="AG20" i="25"/>
  <c r="AB9" i="25"/>
  <c r="AU89" i="18"/>
  <c r="Q11" i="25"/>
  <c r="R11" i="25"/>
  <c r="S11" i="25"/>
  <c r="H101" i="15"/>
  <c r="Q101" i="15"/>
  <c r="H67" i="15"/>
  <c r="Q67" i="15"/>
  <c r="AO23" i="18"/>
  <c r="AL134" i="18"/>
  <c r="AE69" i="25"/>
  <c r="AF69" i="25"/>
  <c r="AG69" i="25"/>
  <c r="AL31" i="25"/>
  <c r="AU49" i="25"/>
  <c r="AW49" i="25"/>
  <c r="AW50" i="25"/>
  <c r="AA9" i="25"/>
  <c r="AV31" i="25"/>
  <c r="AV72" i="25"/>
  <c r="AU68" i="25"/>
  <c r="AW68" i="25"/>
  <c r="AO9" i="25"/>
  <c r="AL30" i="25"/>
  <c r="I11" i="16"/>
  <c r="AA40" i="25"/>
  <c r="Q9" i="25"/>
  <c r="R9" i="25"/>
  <c r="S9" i="25"/>
  <c r="AU9" i="25"/>
  <c r="AW9" i="25"/>
  <c r="AU40" i="25"/>
  <c r="AW40" i="25"/>
  <c r="B19" i="26"/>
  <c r="AC18" i="26"/>
  <c r="I87" i="18"/>
  <c r="AB87" i="18"/>
  <c r="AE19" i="18"/>
  <c r="AF19" i="18"/>
  <c r="AG19" i="18"/>
  <c r="AV87" i="18"/>
  <c r="AB19" i="18"/>
  <c r="I48" i="18"/>
  <c r="AB48" i="18"/>
  <c r="AL131" i="18"/>
  <c r="I113" i="18"/>
  <c r="AB113" i="18"/>
  <c r="AU123" i="18"/>
  <c r="AU42" i="25"/>
  <c r="AW42" i="25"/>
  <c r="AU12" i="25"/>
  <c r="AW12" i="25"/>
  <c r="AU22" i="25"/>
  <c r="T99" i="15"/>
  <c r="AU19" i="25"/>
  <c r="AW19" i="25"/>
  <c r="T38" i="15"/>
  <c r="B34" i="15"/>
  <c r="AC9" i="15"/>
  <c r="T70" i="15"/>
  <c r="AU133" i="18"/>
  <c r="AU22" i="18"/>
  <c r="AV134" i="18"/>
  <c r="AA67" i="18"/>
  <c r="AO88" i="18"/>
  <c r="I23" i="18"/>
  <c r="AB23" i="18"/>
  <c r="AR134" i="18"/>
  <c r="AA87" i="18"/>
  <c r="AE87" i="18"/>
  <c r="AF87" i="18"/>
  <c r="AG87" i="18"/>
  <c r="B11" i="18"/>
  <c r="BD10" i="18"/>
  <c r="AU121" i="18"/>
  <c r="AU52" i="25"/>
  <c r="AU71" i="25"/>
  <c r="B10" i="25"/>
  <c r="BE9" i="25"/>
  <c r="AU10" i="25"/>
  <c r="AU8" i="25"/>
  <c r="Q8" i="26"/>
  <c r="Q22" i="26"/>
  <c r="I22" i="26"/>
  <c r="T35" i="15"/>
  <c r="AI5" i="16"/>
  <c r="AJ5" i="16"/>
  <c r="AK5" i="16"/>
  <c r="AL5" i="16"/>
  <c r="AM5" i="16"/>
  <c r="AN5" i="16"/>
  <c r="AO5" i="16"/>
  <c r="AI144" i="16"/>
  <c r="AJ144" i="16"/>
  <c r="AK144" i="16"/>
  <c r="AL144" i="16"/>
  <c r="AM144" i="16"/>
  <c r="AN144" i="16"/>
  <c r="AO144" i="16"/>
  <c r="AI29" i="18"/>
  <c r="AJ29" i="18"/>
  <c r="AK29" i="18"/>
  <c r="AL29" i="18"/>
  <c r="AM29" i="18"/>
  <c r="AN29" i="18"/>
  <c r="AO29" i="18"/>
  <c r="AI108" i="18"/>
  <c r="AJ108" i="18"/>
  <c r="AK108" i="18"/>
  <c r="AL108" i="18"/>
  <c r="AM108" i="18"/>
  <c r="AN108" i="18"/>
  <c r="AO108" i="18"/>
  <c r="T102" i="15"/>
  <c r="AU50" i="25"/>
  <c r="T67" i="15"/>
  <c r="T100" i="15"/>
  <c r="AI27" i="16"/>
  <c r="AJ27" i="16"/>
  <c r="AK27" i="16"/>
  <c r="AL27" i="16"/>
  <c r="AM27" i="16"/>
  <c r="AN27" i="16"/>
  <c r="AO27" i="16"/>
  <c r="AU48" i="18"/>
  <c r="AU114" i="18"/>
  <c r="AU8" i="18"/>
  <c r="AU35" i="18"/>
  <c r="AI16" i="16"/>
  <c r="AJ16" i="16"/>
  <c r="AK16" i="16"/>
  <c r="AL16" i="16"/>
  <c r="AM16" i="16"/>
  <c r="AN16" i="16"/>
  <c r="AO16" i="16"/>
  <c r="AI155" i="16"/>
  <c r="AJ155" i="16"/>
  <c r="AK155" i="16"/>
  <c r="AL155" i="16"/>
  <c r="AM155" i="16"/>
  <c r="AN155" i="16"/>
  <c r="AO155" i="16"/>
  <c r="AI99" i="16"/>
  <c r="AJ99" i="16"/>
  <c r="AK99" i="16"/>
  <c r="AL99" i="16"/>
  <c r="AM99" i="16"/>
  <c r="AN99" i="16"/>
  <c r="AO99" i="16"/>
  <c r="AI42" i="18"/>
  <c r="AJ42" i="18"/>
  <c r="AK42" i="18"/>
  <c r="AL42" i="18"/>
  <c r="AM42" i="18"/>
  <c r="AN42" i="18"/>
  <c r="AO42" i="18"/>
  <c r="T101" i="15"/>
  <c r="AI17" i="25"/>
  <c r="AJ17" i="25"/>
  <c r="AK17" i="25"/>
  <c r="AL17" i="25"/>
  <c r="AM17" i="25"/>
  <c r="AN17" i="25"/>
  <c r="AO17" i="25"/>
  <c r="T72" i="15"/>
  <c r="T69" i="15"/>
  <c r="AI166" i="16"/>
  <c r="AJ166" i="16"/>
  <c r="AK166" i="16"/>
  <c r="AL166" i="16"/>
  <c r="AM166" i="16"/>
  <c r="AN166" i="16"/>
  <c r="AO166" i="16"/>
  <c r="AU31" i="16"/>
  <c r="AU20" i="25"/>
  <c r="AU32" i="25"/>
  <c r="AU30" i="25"/>
  <c r="AI128" i="18"/>
  <c r="AJ128" i="18"/>
  <c r="AK128" i="18"/>
  <c r="AL128" i="18"/>
  <c r="AM128" i="18"/>
  <c r="AN128" i="18"/>
  <c r="AO128" i="18"/>
  <c r="AI88" i="16"/>
  <c r="AJ88" i="16"/>
  <c r="AK88" i="16"/>
  <c r="AL88" i="16"/>
  <c r="AM88" i="16"/>
  <c r="AN88" i="16"/>
  <c r="AO88" i="16"/>
  <c r="AI181" i="16"/>
  <c r="AJ181" i="16"/>
  <c r="AK181" i="16"/>
  <c r="AL181" i="16"/>
  <c r="AM181" i="16"/>
  <c r="AN181" i="16"/>
  <c r="AO181" i="16"/>
  <c r="AI6" i="18"/>
  <c r="AJ6" i="18"/>
  <c r="AK6" i="18"/>
  <c r="AL6" i="18"/>
  <c r="AM6" i="18"/>
  <c r="AN6" i="18"/>
  <c r="AO6" i="18"/>
  <c r="AI63" i="18"/>
  <c r="AJ63" i="18"/>
  <c r="AK63" i="18"/>
  <c r="AL63" i="18"/>
  <c r="AM63" i="18"/>
  <c r="AN63" i="18"/>
  <c r="AO63" i="18"/>
  <c r="AI6" i="25"/>
  <c r="AJ6" i="25"/>
  <c r="AK6" i="25"/>
  <c r="AL6" i="25"/>
  <c r="AM6" i="25"/>
  <c r="AN6" i="25"/>
  <c r="AO6" i="25"/>
  <c r="T71" i="15"/>
  <c r="T68" i="15"/>
  <c r="AI69" i="16"/>
  <c r="AJ69" i="16"/>
  <c r="AK69" i="16"/>
  <c r="AL69" i="16"/>
  <c r="AM69" i="16"/>
  <c r="AN69" i="16"/>
  <c r="AO69" i="16"/>
  <c r="AU29" i="16"/>
  <c r="AU10" i="18"/>
  <c r="AU34" i="18"/>
  <c r="AU29" i="25"/>
  <c r="AU39" i="25"/>
  <c r="AU41" i="25"/>
  <c r="T8" i="15"/>
  <c r="T39" i="15"/>
  <c r="T36" i="15"/>
  <c r="AI132" i="16"/>
  <c r="AJ132" i="16"/>
  <c r="AK132" i="16"/>
  <c r="AL132" i="16"/>
  <c r="AM132" i="16"/>
  <c r="AN132" i="16"/>
  <c r="AO132" i="16"/>
  <c r="AI121" i="16"/>
  <c r="AJ121" i="16"/>
  <c r="AK121" i="16"/>
  <c r="AL121" i="16"/>
  <c r="AM121" i="16"/>
  <c r="AN121" i="16"/>
  <c r="AO121" i="16"/>
  <c r="AI17" i="18"/>
  <c r="AJ17" i="18"/>
  <c r="AK17" i="18"/>
  <c r="AL17" i="18"/>
  <c r="AM17" i="18"/>
  <c r="AN17" i="18"/>
  <c r="AO17" i="18"/>
  <c r="AI85" i="18"/>
  <c r="AJ85" i="18"/>
  <c r="AK85" i="18"/>
  <c r="AL85" i="18"/>
  <c r="AM85" i="18"/>
  <c r="AN85" i="18"/>
  <c r="AO85" i="18"/>
  <c r="T103" i="15"/>
  <c r="AI27" i="25"/>
  <c r="AJ27" i="25"/>
  <c r="AK27" i="25"/>
  <c r="AL27" i="25"/>
  <c r="AM27" i="25"/>
  <c r="AN27" i="25"/>
  <c r="AO27" i="25"/>
  <c r="AU51" i="25"/>
  <c r="AU69" i="25"/>
  <c r="AU11" i="16"/>
  <c r="AU36" i="18"/>
  <c r="AU66" i="18"/>
  <c r="AU31" i="25"/>
  <c r="AI119" i="18"/>
  <c r="AJ119" i="18"/>
  <c r="AK119" i="18"/>
  <c r="AL119" i="18"/>
  <c r="AM119" i="18"/>
  <c r="AN119" i="18"/>
  <c r="AO119" i="18"/>
  <c r="AU124" i="18"/>
  <c r="AU23" i="18"/>
  <c r="AU67" i="18"/>
  <c r="AU9" i="18"/>
  <c r="I69" i="18"/>
  <c r="AH69" i="18"/>
  <c r="AL92" i="18"/>
  <c r="AU92" i="18"/>
  <c r="AL88" i="18"/>
  <c r="AU88" i="18"/>
  <c r="AU122" i="18"/>
  <c r="AU11" i="18"/>
  <c r="AU44" i="18"/>
  <c r="AA31" i="18"/>
  <c r="AU20" i="18"/>
  <c r="AU46" i="18"/>
  <c r="AU68" i="18"/>
  <c r="AU12" i="18"/>
  <c r="AU45" i="18"/>
  <c r="I130" i="18"/>
  <c r="AL132" i="18"/>
  <c r="AU31" i="18"/>
  <c r="AU134" i="18"/>
  <c r="AU19" i="18"/>
  <c r="AU47" i="18"/>
  <c r="AU21" i="18"/>
  <c r="AU32" i="18"/>
  <c r="AU69" i="18"/>
  <c r="AU65" i="18"/>
  <c r="I124" i="18"/>
  <c r="AB124" i="18"/>
  <c r="AV48" i="18"/>
  <c r="AL130" i="18"/>
  <c r="AU130" i="18"/>
  <c r="AU33" i="18"/>
  <c r="AU110" i="18"/>
  <c r="AU131" i="18"/>
  <c r="AU111" i="18"/>
  <c r="AV186" i="16"/>
  <c r="AU104" i="16"/>
  <c r="AE157" i="16"/>
  <c r="AF157" i="16"/>
  <c r="AG157" i="16"/>
  <c r="AU90" i="16"/>
  <c r="AU94" i="16"/>
  <c r="AU146" i="16"/>
  <c r="AU183" i="16"/>
  <c r="AU51" i="16"/>
  <c r="I52" i="16"/>
  <c r="AU137" i="16"/>
  <c r="AR170" i="16"/>
  <c r="AU72" i="16"/>
  <c r="I136" i="16"/>
  <c r="AU127" i="16"/>
  <c r="AU149" i="16"/>
  <c r="AO11" i="16"/>
  <c r="AU18" i="16"/>
  <c r="AU134" i="16"/>
  <c r="AU157" i="16"/>
  <c r="AR50" i="16"/>
  <c r="AU92" i="16"/>
  <c r="AU123" i="16"/>
  <c r="Q125" i="16"/>
  <c r="R125" i="16"/>
  <c r="S125" i="16"/>
  <c r="AU125" i="16"/>
  <c r="AU139" i="16"/>
  <c r="AU136" i="16"/>
  <c r="AU161" i="16"/>
  <c r="AU187" i="16"/>
  <c r="AU32" i="16"/>
  <c r="I148" i="16"/>
  <c r="AE185" i="16"/>
  <c r="AF185" i="16"/>
  <c r="AG185" i="16"/>
  <c r="AU184" i="16"/>
  <c r="AU20" i="16"/>
  <c r="AA11" i="16"/>
  <c r="AU105" i="16"/>
  <c r="AU135" i="16"/>
  <c r="AU160" i="16"/>
  <c r="AU169" i="16"/>
  <c r="AU53" i="16"/>
  <c r="AU9" i="16"/>
  <c r="AS92" i="16"/>
  <c r="AU10" i="16"/>
  <c r="AU21" i="16"/>
  <c r="AU33" i="16"/>
  <c r="AU93" i="16"/>
  <c r="AU124" i="16"/>
  <c r="AU147" i="16"/>
  <c r="AU168" i="16"/>
  <c r="AU173" i="16"/>
  <c r="AU185" i="16"/>
  <c r="AU102" i="16"/>
  <c r="AU150" i="16"/>
  <c r="AU158" i="16"/>
  <c r="AU71" i="16"/>
  <c r="AU73" i="16"/>
  <c r="AU8" i="16"/>
  <c r="AU75" i="16"/>
  <c r="AU103" i="16"/>
  <c r="AU126" i="16"/>
  <c r="AU174" i="16"/>
  <c r="AU50" i="16"/>
  <c r="AU54" i="16"/>
  <c r="AU74" i="16"/>
  <c r="AL29" i="16"/>
  <c r="AU91" i="16"/>
  <c r="AU101" i="16"/>
  <c r="AU159" i="16"/>
  <c r="AU7" i="16"/>
  <c r="AU172" i="16"/>
  <c r="AU186" i="16"/>
  <c r="AL72" i="25"/>
  <c r="AV92" i="16"/>
  <c r="AV8" i="16"/>
  <c r="AA90" i="18"/>
  <c r="AO89" i="18"/>
  <c r="AE44" i="18"/>
  <c r="AF44" i="18"/>
  <c r="AG44" i="18"/>
  <c r="AV69" i="18"/>
  <c r="AL89" i="18"/>
  <c r="AA19" i="18"/>
  <c r="I20" i="18"/>
  <c r="AB20" i="18"/>
  <c r="AE89" i="18"/>
  <c r="AF89" i="18"/>
  <c r="AG89" i="18"/>
  <c r="AL112" i="18"/>
  <c r="AA92" i="18"/>
  <c r="AL12" i="18"/>
  <c r="I90" i="18"/>
  <c r="AB90" i="18"/>
  <c r="AE48" i="18"/>
  <c r="AF48" i="18"/>
  <c r="AG48" i="18"/>
  <c r="AH48" i="18"/>
  <c r="AV10" i="16"/>
  <c r="AV9" i="16"/>
  <c r="I33" i="16"/>
  <c r="AB33" i="16"/>
  <c r="I54" i="16"/>
  <c r="AB54" i="16"/>
  <c r="AV7" i="16"/>
  <c r="I150" i="16"/>
  <c r="I172" i="16"/>
  <c r="AV94" i="16"/>
  <c r="AV114" i="18"/>
  <c r="AV122" i="18"/>
  <c r="I20" i="26"/>
  <c r="Q20" i="26"/>
  <c r="AD12" i="25"/>
  <c r="AE12" i="25"/>
  <c r="AF12" i="25"/>
  <c r="AG12" i="25"/>
  <c r="AS158" i="16"/>
  <c r="AO158" i="16"/>
  <c r="AS186" i="16"/>
  <c r="AO186" i="16"/>
  <c r="T9" i="26"/>
  <c r="AD40" i="25"/>
  <c r="AE40" i="25"/>
  <c r="AF40" i="25"/>
  <c r="AG40" i="25"/>
  <c r="AH40" i="25"/>
  <c r="AE94" i="16"/>
  <c r="AF94" i="16"/>
  <c r="AG94" i="16"/>
  <c r="AH94" i="16"/>
  <c r="AD9" i="25"/>
  <c r="AE9" i="25"/>
  <c r="AF9" i="25"/>
  <c r="AG9" i="25"/>
  <c r="AH9" i="25"/>
  <c r="AO12" i="25"/>
  <c r="AS183" i="16"/>
  <c r="AO183" i="16"/>
  <c r="AS187" i="16"/>
  <c r="AO187" i="16"/>
  <c r="T35" i="26"/>
  <c r="T36" i="26"/>
  <c r="AE67" i="18"/>
  <c r="AF67" i="18"/>
  <c r="AG67" i="18"/>
  <c r="AH67" i="18"/>
  <c r="AE8" i="25"/>
  <c r="AF8" i="25"/>
  <c r="AG8" i="25"/>
  <c r="AD10" i="25"/>
  <c r="AE10" i="25"/>
  <c r="AF10" i="25"/>
  <c r="AG10" i="25"/>
  <c r="Q138" i="16"/>
  <c r="R138" i="16"/>
  <c r="S138" i="16"/>
  <c r="AV147" i="16"/>
  <c r="AS157" i="16"/>
  <c r="AO157" i="16"/>
  <c r="AL186" i="16"/>
  <c r="AL68" i="18"/>
  <c r="AE8" i="18"/>
  <c r="AF8" i="18"/>
  <c r="AG8" i="18"/>
  <c r="AE11" i="18"/>
  <c r="AF11" i="18"/>
  <c r="AG11" i="18"/>
  <c r="AH11" i="18"/>
  <c r="AE9" i="18"/>
  <c r="AF9" i="18"/>
  <c r="AG9" i="18"/>
  <c r="AD32" i="25"/>
  <c r="AE32" i="25"/>
  <c r="AF32" i="25"/>
  <c r="AG32" i="25"/>
  <c r="AH32" i="25"/>
  <c r="AD42" i="25"/>
  <c r="AE42" i="25"/>
  <c r="AF42" i="25"/>
  <c r="AG42" i="25"/>
  <c r="AH42" i="25"/>
  <c r="AO10" i="25"/>
  <c r="AL94" i="16"/>
  <c r="AL104" i="16"/>
  <c r="AS159" i="16"/>
  <c r="AO159" i="16"/>
  <c r="AA186" i="16"/>
  <c r="AL87" i="18"/>
  <c r="AV54" i="16"/>
  <c r="AL51" i="16"/>
  <c r="AV51" i="16"/>
  <c r="Y90" i="16"/>
  <c r="Z90" i="16"/>
  <c r="AA90" i="16"/>
  <c r="AE90" i="16"/>
  <c r="AF90" i="16"/>
  <c r="AG90" i="16"/>
  <c r="AH90" i="16"/>
  <c r="Y137" i="16"/>
  <c r="Z137" i="16"/>
  <c r="AE137" i="16"/>
  <c r="AF137" i="16"/>
  <c r="AG137" i="16"/>
  <c r="Y172" i="16"/>
  <c r="Z172" i="16"/>
  <c r="AA172" i="16"/>
  <c r="AE172" i="16"/>
  <c r="AF172" i="16"/>
  <c r="AG172" i="16"/>
  <c r="AH172" i="16"/>
  <c r="I53" i="16"/>
  <c r="AB53" i="16"/>
  <c r="AO127" i="16"/>
  <c r="AE22" i="16"/>
  <c r="AF22" i="16"/>
  <c r="AG22" i="16"/>
  <c r="I103" i="16"/>
  <c r="AB103" i="16"/>
  <c r="AE124" i="16"/>
  <c r="AF124" i="16"/>
  <c r="AG124" i="16"/>
  <c r="AV104" i="16"/>
  <c r="AE71" i="16"/>
  <c r="AF71" i="16"/>
  <c r="AG71" i="16"/>
  <c r="Y150" i="16"/>
  <c r="Z150" i="16"/>
  <c r="AO150" i="16"/>
  <c r="AE150" i="16"/>
  <c r="AF150" i="16"/>
  <c r="AG150" i="16"/>
  <c r="AR7" i="16"/>
  <c r="AA158" i="16"/>
  <c r="AB158" i="16"/>
  <c r="AE103" i="16"/>
  <c r="AF103" i="16"/>
  <c r="AG103" i="16"/>
  <c r="AE160" i="16"/>
  <c r="AF160" i="16"/>
  <c r="AG160" i="16"/>
  <c r="AH160" i="16"/>
  <c r="Y147" i="16"/>
  <c r="Z147" i="16"/>
  <c r="AA147" i="16"/>
  <c r="AE147" i="16"/>
  <c r="AF147" i="16"/>
  <c r="AG147" i="16"/>
  <c r="AV161" i="16"/>
  <c r="AV160" i="16"/>
  <c r="AS173" i="16"/>
  <c r="AA53" i="16"/>
  <c r="I123" i="16"/>
  <c r="AB123" i="16"/>
  <c r="I139" i="16"/>
  <c r="AO72" i="16"/>
  <c r="AE92" i="16"/>
  <c r="AF92" i="16"/>
  <c r="AG92" i="16"/>
  <c r="AH92" i="16"/>
  <c r="AR31" i="16"/>
  <c r="AA103" i="16"/>
  <c r="Y135" i="16"/>
  <c r="Z135" i="16"/>
  <c r="AO135" i="16"/>
  <c r="AE135" i="16"/>
  <c r="AF135" i="16"/>
  <c r="AG135" i="16"/>
  <c r="AH135" i="16"/>
  <c r="Y148" i="16"/>
  <c r="Z148" i="16"/>
  <c r="AE148" i="16"/>
  <c r="AF148" i="16"/>
  <c r="AG148" i="16"/>
  <c r="Y169" i="16"/>
  <c r="Z169" i="16"/>
  <c r="AE169" i="16"/>
  <c r="AF169" i="16"/>
  <c r="AG169" i="16"/>
  <c r="Y134" i="16"/>
  <c r="Z134" i="16"/>
  <c r="AO134" i="16"/>
  <c r="AE134" i="16"/>
  <c r="AF134" i="16"/>
  <c r="AG134" i="16"/>
  <c r="AA54" i="16"/>
  <c r="AE53" i="16"/>
  <c r="AF53" i="16"/>
  <c r="AG53" i="16"/>
  <c r="AH53" i="16"/>
  <c r="AR92" i="16"/>
  <c r="AO104" i="16"/>
  <c r="AV75" i="16"/>
  <c r="Y91" i="16"/>
  <c r="Z91" i="16"/>
  <c r="AO91" i="16"/>
  <c r="AE91" i="16"/>
  <c r="AF91" i="16"/>
  <c r="AG91" i="16"/>
  <c r="Y136" i="16"/>
  <c r="Z136" i="16"/>
  <c r="AE136" i="16"/>
  <c r="AF136" i="16"/>
  <c r="AG136" i="16"/>
  <c r="AH136" i="16"/>
  <c r="Y149" i="16"/>
  <c r="Z149" i="16"/>
  <c r="AO149" i="16"/>
  <c r="AE149" i="16"/>
  <c r="AF149" i="16"/>
  <c r="AG149" i="16"/>
  <c r="Y139" i="16"/>
  <c r="Z139" i="16"/>
  <c r="AS139" i="16"/>
  <c r="AE139" i="16"/>
  <c r="AF139" i="16"/>
  <c r="AG139" i="16"/>
  <c r="AB32" i="16"/>
  <c r="AO22" i="16"/>
  <c r="I105" i="16"/>
  <c r="AB105" i="16"/>
  <c r="I138" i="16"/>
  <c r="AB138" i="16"/>
  <c r="AE158" i="16"/>
  <c r="AF158" i="16"/>
  <c r="AG158" i="16"/>
  <c r="AH158" i="16"/>
  <c r="Y146" i="16"/>
  <c r="Z146" i="16"/>
  <c r="AO146" i="16"/>
  <c r="AE146" i="16"/>
  <c r="AF146" i="16"/>
  <c r="AG146" i="16"/>
  <c r="AV130" i="18"/>
  <c r="AA131" i="18"/>
  <c r="AE29" i="25"/>
  <c r="AF29" i="25"/>
  <c r="AG29" i="25"/>
  <c r="Y168" i="16"/>
  <c r="Z168" i="16"/>
  <c r="AO168" i="16"/>
  <c r="AF168" i="16"/>
  <c r="AG168" i="16"/>
  <c r="AH168" i="16"/>
  <c r="AV174" i="16"/>
  <c r="AV173" i="16"/>
  <c r="AL11" i="16"/>
  <c r="AL22" i="16"/>
  <c r="AV172" i="16"/>
  <c r="AA50" i="16"/>
  <c r="AV50" i="16"/>
  <c r="AH74" i="16"/>
  <c r="AV53" i="16"/>
  <c r="AL124" i="16"/>
  <c r="AO50" i="16"/>
  <c r="AE19" i="16"/>
  <c r="AF19" i="16"/>
  <c r="AG19" i="16"/>
  <c r="I187" i="16"/>
  <c r="AB187" i="16"/>
  <c r="AS50" i="16"/>
  <c r="AO8" i="16"/>
  <c r="AE138" i="16"/>
  <c r="AF138" i="16"/>
  <c r="AG138" i="16"/>
  <c r="AH138" i="16"/>
  <c r="AL172" i="16"/>
  <c r="AV170" i="16"/>
  <c r="AV169" i="16"/>
  <c r="AO54" i="16"/>
  <c r="AO74" i="16"/>
  <c r="I134" i="16"/>
  <c r="AE10" i="16"/>
  <c r="AF10" i="16"/>
  <c r="AG10" i="16"/>
  <c r="AB159" i="16"/>
  <c r="AL18" i="16"/>
  <c r="AO31" i="16"/>
  <c r="AA32" i="16"/>
  <c r="AO94" i="16"/>
  <c r="AE73" i="16"/>
  <c r="AF73" i="16"/>
  <c r="AG73" i="16"/>
  <c r="AA73" i="16"/>
  <c r="AL91" i="16"/>
  <c r="AA127" i="16"/>
  <c r="AO125" i="16"/>
  <c r="AL134" i="16"/>
  <c r="AA161" i="16"/>
  <c r="AE127" i="16"/>
  <c r="AF127" i="16"/>
  <c r="AG127" i="16"/>
  <c r="AE104" i="16"/>
  <c r="AF104" i="16"/>
  <c r="AG104" i="16"/>
  <c r="AE186" i="16"/>
  <c r="AF186" i="16"/>
  <c r="AG186" i="16"/>
  <c r="AH186" i="16"/>
  <c r="AE50" i="16"/>
  <c r="AF50" i="16"/>
  <c r="AG50" i="16"/>
  <c r="AH50" i="16"/>
  <c r="AA72" i="16"/>
  <c r="I93" i="16"/>
  <c r="I101" i="16"/>
  <c r="AV23" i="18"/>
  <c r="AL20" i="18"/>
  <c r="AL46" i="18"/>
  <c r="AL66" i="18"/>
  <c r="AL11" i="18"/>
  <c r="AV113" i="18"/>
  <c r="AV44" i="18"/>
  <c r="AL44" i="18"/>
  <c r="AA48" i="18"/>
  <c r="AO68" i="18"/>
  <c r="AE110" i="18"/>
  <c r="AF110" i="18"/>
  <c r="AG110" i="18"/>
  <c r="AE47" i="18"/>
  <c r="AF47" i="18"/>
  <c r="AG47" i="18"/>
  <c r="AE88" i="18"/>
  <c r="AF88" i="18"/>
  <c r="AG88" i="18"/>
  <c r="AA134" i="18"/>
  <c r="AV132" i="18"/>
  <c r="AV68" i="18"/>
  <c r="AO90" i="18"/>
  <c r="I34" i="18"/>
  <c r="AB34" i="18"/>
  <c r="AE92" i="18"/>
  <c r="AF92" i="18"/>
  <c r="AG92" i="18"/>
  <c r="AV11" i="18"/>
  <c r="AE22" i="18"/>
  <c r="AF22" i="18"/>
  <c r="AG22" i="18"/>
  <c r="AE122" i="18"/>
  <c r="AF122" i="18"/>
  <c r="AG122" i="18"/>
  <c r="AH122" i="18"/>
  <c r="AO124" i="18"/>
  <c r="AL114" i="18"/>
  <c r="AO47" i="18"/>
  <c r="AE20" i="18"/>
  <c r="AF20" i="18"/>
  <c r="AG20" i="18"/>
  <c r="AO87" i="18"/>
  <c r="AV88" i="18"/>
  <c r="AV89" i="18"/>
  <c r="A21" i="18"/>
  <c r="A22" i="18"/>
  <c r="A23" i="18"/>
  <c r="A31" i="18"/>
  <c r="A32" i="18"/>
  <c r="A33" i="18"/>
  <c r="A34" i="18"/>
  <c r="A35" i="18"/>
  <c r="A36" i="18"/>
  <c r="A44" i="18"/>
  <c r="A45" i="18"/>
  <c r="A46" i="18"/>
  <c r="A47" i="18"/>
  <c r="A48" i="18"/>
  <c r="A65" i="18"/>
  <c r="A66" i="18"/>
  <c r="A67" i="18"/>
  <c r="A68" i="18"/>
  <c r="A69" i="18"/>
  <c r="A87" i="18"/>
  <c r="A88" i="18"/>
  <c r="A89" i="18"/>
  <c r="A90" i="18"/>
  <c r="AV46" i="18"/>
  <c r="AR11" i="18"/>
  <c r="AO112" i="18"/>
  <c r="AV22" i="18"/>
  <c r="AV21" i="18"/>
  <c r="AV20" i="18"/>
  <c r="AL36" i="18"/>
  <c r="AA183" i="16"/>
  <c r="AV133" i="18"/>
  <c r="AB131" i="18"/>
  <c r="AL110" i="18"/>
  <c r="AA9" i="18"/>
  <c r="AV12" i="18"/>
  <c r="AL48" i="18"/>
  <c r="AL113" i="18"/>
  <c r="AL69" i="18"/>
  <c r="AV67" i="18"/>
  <c r="AV66" i="18"/>
  <c r="AV92" i="18"/>
  <c r="AL122" i="18"/>
  <c r="AV65" i="18"/>
  <c r="AS113" i="18"/>
  <c r="AO113" i="18"/>
  <c r="AA113" i="18"/>
  <c r="AR88" i="18"/>
  <c r="I88" i="18"/>
  <c r="AB88" i="18"/>
  <c r="AA88" i="18"/>
  <c r="AS121" i="18"/>
  <c r="AO121" i="18"/>
  <c r="AL45" i="18"/>
  <c r="AV45" i="18"/>
  <c r="AR45" i="18"/>
  <c r="I45" i="18"/>
  <c r="AB45" i="18"/>
  <c r="AL9" i="18"/>
  <c r="AV9" i="18"/>
  <c r="AL19" i="18"/>
  <c r="AV19" i="18"/>
  <c r="AV35" i="18"/>
  <c r="AV47" i="18"/>
  <c r="AL47" i="18"/>
  <c r="AL111" i="18"/>
  <c r="AL21" i="18"/>
  <c r="AO19" i="18"/>
  <c r="I44" i="18"/>
  <c r="AB44" i="18"/>
  <c r="I31" i="18"/>
  <c r="AB31" i="18"/>
  <c r="AL133" i="18"/>
  <c r="AE134" i="18"/>
  <c r="AF134" i="18"/>
  <c r="AG134" i="18"/>
  <c r="AH134" i="18"/>
  <c r="AS131" i="18"/>
  <c r="AO131" i="18"/>
  <c r="AR131" i="18"/>
  <c r="AA132" i="18"/>
  <c r="AS134" i="18"/>
  <c r="AO134" i="18"/>
  <c r="I89" i="18"/>
  <c r="AB89" i="18"/>
  <c r="AO31" i="18"/>
  <c r="AA68" i="18"/>
  <c r="AE114" i="18"/>
  <c r="AF114" i="18"/>
  <c r="AG114" i="18"/>
  <c r="AO22" i="18"/>
  <c r="AE21" i="18"/>
  <c r="AF21" i="18"/>
  <c r="AG21" i="18"/>
  <c r="I46" i="18"/>
  <c r="AH46" i="18"/>
  <c r="I114" i="18"/>
  <c r="I68" i="18"/>
  <c r="AB68" i="18"/>
  <c r="AE66" i="18"/>
  <c r="AF66" i="18"/>
  <c r="AG66" i="18"/>
  <c r="AE65" i="18"/>
  <c r="AF65" i="18"/>
  <c r="AG65" i="18"/>
  <c r="AE45" i="18"/>
  <c r="AF45" i="18"/>
  <c r="AG45" i="18"/>
  <c r="AV36" i="18"/>
  <c r="AL34" i="18"/>
  <c r="AA23" i="18"/>
  <c r="AE35" i="18"/>
  <c r="AF35" i="18"/>
  <c r="AG35" i="18"/>
  <c r="AO122" i="18"/>
  <c r="AB134" i="18"/>
  <c r="AA45" i="18"/>
  <c r="AA44" i="18"/>
  <c r="AA89" i="18"/>
  <c r="AO33" i="18"/>
  <c r="AE111" i="18"/>
  <c r="AF111" i="18"/>
  <c r="AG111" i="18"/>
  <c r="AH111" i="18"/>
  <c r="AO44" i="18"/>
  <c r="I35" i="18"/>
  <c r="AB35" i="18"/>
  <c r="AE113" i="18"/>
  <c r="AF113" i="18"/>
  <c r="AG113" i="18"/>
  <c r="AH113" i="18"/>
  <c r="AO67" i="18"/>
  <c r="I92" i="18"/>
  <c r="AH92" i="18"/>
  <c r="AE68" i="18"/>
  <c r="AF68" i="18"/>
  <c r="AG68" i="18"/>
  <c r="AE31" i="18"/>
  <c r="AF31" i="18"/>
  <c r="AG31" i="18"/>
  <c r="AE23" i="18"/>
  <c r="AF23" i="18"/>
  <c r="AG23" i="18"/>
  <c r="AV123" i="18"/>
  <c r="AL123" i="18"/>
  <c r="AL10" i="18"/>
  <c r="AV31" i="18"/>
  <c r="AL31" i="18"/>
  <c r="AL8" i="18"/>
  <c r="AV8" i="18"/>
  <c r="AL124" i="18"/>
  <c r="AV124" i="18"/>
  <c r="AV33" i="18"/>
  <c r="AR110" i="18"/>
  <c r="I110" i="18"/>
  <c r="AV121" i="18"/>
  <c r="AL121" i="18"/>
  <c r="I133" i="18"/>
  <c r="AR133" i="18"/>
  <c r="AV111" i="18"/>
  <c r="AL22" i="18"/>
  <c r="AL32" i="18"/>
  <c r="AR8" i="18"/>
  <c r="AR32" i="18"/>
  <c r="I32" i="18"/>
  <c r="AH32" i="18"/>
  <c r="AL33" i="18"/>
  <c r="AL35" i="18"/>
  <c r="AE36" i="18"/>
  <c r="AF36" i="18"/>
  <c r="AG36" i="18"/>
  <c r="AV32" i="18"/>
  <c r="AA34" i="18"/>
  <c r="AO34" i="18"/>
  <c r="AE34" i="18"/>
  <c r="AF34" i="18"/>
  <c r="AG34" i="18"/>
  <c r="H38" i="15"/>
  <c r="Q38" i="15"/>
  <c r="I38" i="15"/>
  <c r="AE9" i="16"/>
  <c r="AF9" i="16"/>
  <c r="AG9" i="16"/>
  <c r="I132" i="18"/>
  <c r="AH132" i="18"/>
  <c r="AR132" i="18"/>
  <c r="AH87" i="18"/>
  <c r="AS65" i="18"/>
  <c r="AO65" i="18"/>
  <c r="T8" i="26"/>
  <c r="H39" i="26"/>
  <c r="Q39" i="26"/>
  <c r="H68" i="15"/>
  <c r="Q68" i="15"/>
  <c r="I71" i="15"/>
  <c r="AB65" i="18"/>
  <c r="AE10" i="18"/>
  <c r="AF10" i="18"/>
  <c r="AG10" i="18"/>
  <c r="AL70" i="25"/>
  <c r="AE12" i="18"/>
  <c r="AF12" i="18"/>
  <c r="AG12" i="18"/>
  <c r="T39" i="26"/>
  <c r="H102" i="15"/>
  <c r="Q102" i="15"/>
  <c r="T17" i="26"/>
  <c r="T22" i="26"/>
  <c r="AV10" i="18"/>
  <c r="T18" i="26"/>
  <c r="AE121" i="18"/>
  <c r="AF121" i="18"/>
  <c r="AG121" i="18"/>
  <c r="AV22" i="16"/>
  <c r="AL21" i="16"/>
  <c r="AV33" i="16"/>
  <c r="AV30" i="16"/>
  <c r="AV72" i="16"/>
  <c r="AL75" i="16"/>
  <c r="AV101" i="16"/>
  <c r="AV124" i="16"/>
  <c r="AL161" i="16"/>
  <c r="AV159" i="16"/>
  <c r="AR173" i="16"/>
  <c r="AV148" i="16"/>
  <c r="AV21" i="16"/>
  <c r="AV134" i="16"/>
  <c r="I73" i="16"/>
  <c r="AA102" i="16"/>
  <c r="I102" i="16"/>
  <c r="AB102" i="16"/>
  <c r="AE161" i="16"/>
  <c r="AF161" i="16"/>
  <c r="AG161" i="16"/>
  <c r="AL72" i="16"/>
  <c r="AL10" i="16"/>
  <c r="AO29" i="16"/>
  <c r="AA134" i="16"/>
  <c r="AO19" i="16"/>
  <c r="AA101" i="16"/>
  <c r="AE33" i="16"/>
  <c r="AF33" i="16"/>
  <c r="AG33" i="16"/>
  <c r="AE75" i="16"/>
  <c r="AF75" i="16"/>
  <c r="AG75" i="16"/>
  <c r="AO103" i="16"/>
  <c r="AE125" i="16"/>
  <c r="AF125" i="16"/>
  <c r="AG125" i="16"/>
  <c r="AE21" i="16"/>
  <c r="AF21" i="16"/>
  <c r="AG21" i="16"/>
  <c r="AE101" i="16"/>
  <c r="AF101" i="16"/>
  <c r="AG101" i="16"/>
  <c r="AO20" i="16"/>
  <c r="AL20" i="16"/>
  <c r="AV123" i="16"/>
  <c r="AV127" i="16"/>
  <c r="AL126" i="16"/>
  <c r="AV71" i="16"/>
  <c r="AV18" i="16"/>
  <c r="AE8" i="16"/>
  <c r="AF8" i="16"/>
  <c r="AG8" i="16"/>
  <c r="AE30" i="16"/>
  <c r="AF30" i="16"/>
  <c r="AG30" i="16"/>
  <c r="AA74" i="16"/>
  <c r="T37" i="26"/>
  <c r="I36" i="26"/>
  <c r="T20" i="26"/>
  <c r="T21" i="26"/>
  <c r="AV32" i="16"/>
  <c r="AL71" i="16"/>
  <c r="AA185" i="16"/>
  <c r="AV185" i="16"/>
  <c r="AL7" i="16"/>
  <c r="AL101" i="16"/>
  <c r="AV184" i="16"/>
  <c r="AV29" i="16"/>
  <c r="AV137" i="16"/>
  <c r="AR10" i="25"/>
  <c r="I10" i="25"/>
  <c r="AB10" i="25"/>
  <c r="AA10" i="25"/>
  <c r="AR22" i="25"/>
  <c r="I22" i="25"/>
  <c r="AA22" i="25"/>
  <c r="AV9" i="25"/>
  <c r="AL9" i="25"/>
  <c r="AR49" i="25"/>
  <c r="I49" i="25"/>
  <c r="AB49" i="25"/>
  <c r="AL8" i="25"/>
  <c r="AL136" i="16"/>
  <c r="AV136" i="16"/>
  <c r="AL74" i="16"/>
  <c r="AV74" i="16"/>
  <c r="AR21" i="16"/>
  <c r="I21" i="16"/>
  <c r="AB21" i="16"/>
  <c r="AV139" i="16"/>
  <c r="AL139" i="16"/>
  <c r="AR137" i="16"/>
  <c r="I137" i="16"/>
  <c r="AV168" i="16"/>
  <c r="AR91" i="16"/>
  <c r="I91" i="16"/>
  <c r="AR169" i="16"/>
  <c r="I169" i="16"/>
  <c r="AO7" i="16"/>
  <c r="AS7" i="16"/>
  <c r="AA7" i="16"/>
  <c r="AL183" i="16"/>
  <c r="AV183" i="16"/>
  <c r="AR185" i="16"/>
  <c r="I185" i="16"/>
  <c r="AB185" i="16"/>
  <c r="AO73" i="16"/>
  <c r="AV187" i="16"/>
  <c r="AV126" i="16"/>
  <c r="AV91" i="16"/>
  <c r="AR74" i="16"/>
  <c r="AL33" i="16"/>
  <c r="AL30" i="16"/>
  <c r="AV20" i="16"/>
  <c r="AL185" i="16"/>
  <c r="I72" i="16"/>
  <c r="AH72" i="16"/>
  <c r="AA18" i="16"/>
  <c r="AL127" i="16"/>
  <c r="AR168" i="16"/>
  <c r="AA104" i="16"/>
  <c r="AE20" i="16"/>
  <c r="AF20" i="16"/>
  <c r="AG20" i="16"/>
  <c r="AA126" i="16"/>
  <c r="AO102" i="16"/>
  <c r="AE126" i="16"/>
  <c r="AF126" i="16"/>
  <c r="AG126" i="16"/>
  <c r="I147" i="16"/>
  <c r="I22" i="16"/>
  <c r="AB22" i="16"/>
  <c r="AE184" i="16"/>
  <c r="AF184" i="16"/>
  <c r="AG184" i="16"/>
  <c r="I51" i="16"/>
  <c r="AH51" i="16"/>
  <c r="AO53" i="16"/>
  <c r="AL32" i="16"/>
  <c r="AA31" i="16"/>
  <c r="AL169" i="16"/>
  <c r="AB7" i="16"/>
  <c r="AL137" i="16"/>
  <c r="AO75" i="16"/>
  <c r="AA20" i="16"/>
  <c r="AO18" i="16"/>
  <c r="AL159" i="16"/>
  <c r="AO105" i="16"/>
  <c r="AA187" i="16"/>
  <c r="AO126" i="16"/>
  <c r="AE123" i="16"/>
  <c r="AF123" i="16"/>
  <c r="AG123" i="16"/>
  <c r="I104" i="16"/>
  <c r="AB104" i="16"/>
  <c r="AE159" i="16"/>
  <c r="AF159" i="16"/>
  <c r="AG159" i="16"/>
  <c r="AH159" i="16"/>
  <c r="AE93" i="16"/>
  <c r="AF93" i="16"/>
  <c r="AG93" i="16"/>
  <c r="AH93" i="16"/>
  <c r="AE18" i="16"/>
  <c r="AF18" i="16"/>
  <c r="AG18" i="16"/>
  <c r="AE31" i="16"/>
  <c r="AF31" i="16"/>
  <c r="AG31" i="16"/>
  <c r="AH31" i="16"/>
  <c r="AE183" i="16"/>
  <c r="AF183" i="16"/>
  <c r="AG183" i="16"/>
  <c r="AH183" i="16"/>
  <c r="AL53" i="16"/>
  <c r="AA22" i="16"/>
  <c r="I161" i="16"/>
  <c r="AB161" i="16"/>
  <c r="I149" i="16"/>
  <c r="AO124" i="16"/>
  <c r="AA159" i="16"/>
  <c r="AO101" i="16"/>
  <c r="AE11" i="16"/>
  <c r="AF11" i="16"/>
  <c r="AG11" i="16"/>
  <c r="AH11" i="16"/>
  <c r="AE187" i="16"/>
  <c r="AF187" i="16"/>
  <c r="AG187" i="16"/>
  <c r="AS93" i="16"/>
  <c r="AA93" i="16"/>
  <c r="AL93" i="16"/>
  <c r="AO123" i="16"/>
  <c r="AA123" i="16"/>
  <c r="AS123" i="16"/>
  <c r="AV146" i="16"/>
  <c r="AL146" i="16"/>
  <c r="AV158" i="16"/>
  <c r="AS184" i="16"/>
  <c r="AS21" i="16"/>
  <c r="AA21" i="16"/>
  <c r="AO21" i="16"/>
  <c r="AV157" i="16"/>
  <c r="AS160" i="16"/>
  <c r="AB160" i="16"/>
  <c r="AA160" i="16"/>
  <c r="AR19" i="16"/>
  <c r="AA19" i="16"/>
  <c r="I19" i="16"/>
  <c r="AB19" i="16"/>
  <c r="AB93" i="16"/>
  <c r="AL168" i="16"/>
  <c r="AL73" i="16"/>
  <c r="AV135" i="16"/>
  <c r="AR21" i="18"/>
  <c r="I21" i="18"/>
  <c r="AB21" i="18"/>
  <c r="AR33" i="18"/>
  <c r="I33" i="18"/>
  <c r="AB33" i="18"/>
  <c r="AA33" i="18"/>
  <c r="AL65" i="18"/>
  <c r="AS12" i="18"/>
  <c r="AO12" i="18"/>
  <c r="AO10" i="18"/>
  <c r="AS10" i="18"/>
  <c r="AA10" i="18"/>
  <c r="I10" i="18"/>
  <c r="AB10" i="18"/>
  <c r="AR10" i="18"/>
  <c r="AA22" i="18"/>
  <c r="AR22" i="18"/>
  <c r="I22" i="18"/>
  <c r="AB22" i="18"/>
  <c r="AS20" i="18"/>
  <c r="AO20" i="18"/>
  <c r="AA20" i="18"/>
  <c r="AS35" i="18"/>
  <c r="AA35" i="18"/>
  <c r="AO35" i="18"/>
  <c r="AV34" i="18"/>
  <c r="AS46" i="18"/>
  <c r="AO46" i="18"/>
  <c r="AA46" i="18"/>
  <c r="AS114" i="18"/>
  <c r="AA114" i="18"/>
  <c r="AB114" i="18"/>
  <c r="AR112" i="18"/>
  <c r="AA112" i="18"/>
  <c r="I112" i="18"/>
  <c r="AB112" i="18"/>
  <c r="AR65" i="18"/>
  <c r="AA65" i="18"/>
  <c r="AL67" i="18"/>
  <c r="AS66" i="18"/>
  <c r="AA66" i="18"/>
  <c r="AO66" i="18"/>
  <c r="AS92" i="18"/>
  <c r="AO92" i="18"/>
  <c r="AL90" i="18"/>
  <c r="AV90" i="18"/>
  <c r="AS21" i="18"/>
  <c r="AA21" i="18"/>
  <c r="AO21" i="18"/>
  <c r="AS36" i="18"/>
  <c r="AO36" i="18"/>
  <c r="AA36" i="18"/>
  <c r="AS110" i="18"/>
  <c r="AA110" i="18"/>
  <c r="AO110" i="18"/>
  <c r="AV110" i="18"/>
  <c r="AV112" i="18"/>
  <c r="AS69" i="18"/>
  <c r="AO69" i="18"/>
  <c r="AA69" i="18"/>
  <c r="AR66" i="18"/>
  <c r="I66" i="18"/>
  <c r="AH65" i="18"/>
  <c r="AB8" i="18"/>
  <c r="AO8" i="18"/>
  <c r="AS9" i="18"/>
  <c r="AO9" i="18"/>
  <c r="AB9" i="18"/>
  <c r="AL23" i="18"/>
  <c r="AR36" i="18"/>
  <c r="I36" i="18"/>
  <c r="AB36" i="18"/>
  <c r="AS32" i="18"/>
  <c r="AA32" i="18"/>
  <c r="AO32" i="18"/>
  <c r="I47" i="18"/>
  <c r="AB47" i="18"/>
  <c r="AA47" i="18"/>
  <c r="AR47" i="18"/>
  <c r="AS111" i="18"/>
  <c r="AA111" i="18"/>
  <c r="AO111" i="18"/>
  <c r="AH8" i="18"/>
  <c r="AR9" i="18"/>
  <c r="AH110" i="18"/>
  <c r="AB111" i="18"/>
  <c r="AE131" i="18"/>
  <c r="AF131" i="18"/>
  <c r="AG131" i="18"/>
  <c r="AH131" i="18"/>
  <c r="AB46" i="18"/>
  <c r="AB110" i="18"/>
  <c r="I121" i="18"/>
  <c r="AB121" i="18"/>
  <c r="AE124" i="18"/>
  <c r="AF124" i="18"/>
  <c r="AG124" i="18"/>
  <c r="AV39" i="25"/>
  <c r="AL39" i="25"/>
  <c r="AR30" i="25"/>
  <c r="I30" i="25"/>
  <c r="AH30" i="25"/>
  <c r="AR20" i="25"/>
  <c r="AA20" i="25"/>
  <c r="I20" i="25"/>
  <c r="AB20" i="25"/>
  <c r="AE72" i="25"/>
  <c r="AF72" i="25"/>
  <c r="AG72" i="25"/>
  <c r="AE71" i="25"/>
  <c r="AF71" i="25"/>
  <c r="AG71" i="25"/>
  <c r="AS11" i="25"/>
  <c r="AO11" i="25"/>
  <c r="AA11" i="25"/>
  <c r="AS31" i="25"/>
  <c r="AO31" i="25"/>
  <c r="AS41" i="25"/>
  <c r="AO41" i="25"/>
  <c r="AL22" i="25"/>
  <c r="AV22" i="25"/>
  <c r="AL41" i="25"/>
  <c r="AV41" i="25"/>
  <c r="AO49" i="25"/>
  <c r="AA49" i="25"/>
  <c r="AS49" i="25"/>
  <c r="AV12" i="25"/>
  <c r="AL12" i="25"/>
  <c r="AR72" i="25"/>
  <c r="I72" i="25"/>
  <c r="AV49" i="25"/>
  <c r="AL49" i="25"/>
  <c r="AB11" i="25"/>
  <c r="AH8" i="25"/>
  <c r="AL51" i="25"/>
  <c r="AV51" i="25"/>
  <c r="AV71" i="25"/>
  <c r="AL71" i="25"/>
  <c r="AL29" i="25"/>
  <c r="AV29" i="25"/>
  <c r="AV32" i="25"/>
  <c r="AL32" i="25"/>
  <c r="AV50" i="25"/>
  <c r="AR52" i="25"/>
  <c r="I52" i="25"/>
  <c r="AR71" i="25"/>
  <c r="I71" i="25"/>
  <c r="AB71" i="25"/>
  <c r="AV10" i="25"/>
  <c r="AL10" i="25"/>
  <c r="AV20" i="25"/>
  <c r="AL20" i="25"/>
  <c r="AR31" i="25"/>
  <c r="I31" i="25"/>
  <c r="AB31" i="25"/>
  <c r="AA31" i="25"/>
  <c r="AR41" i="25"/>
  <c r="I41" i="25"/>
  <c r="AB41" i="25"/>
  <c r="AA41" i="25"/>
  <c r="AS71" i="25"/>
  <c r="AO71" i="25"/>
  <c r="AA71" i="25"/>
  <c r="AR70" i="25"/>
  <c r="I70" i="25"/>
  <c r="AR19" i="25"/>
  <c r="I19" i="25"/>
  <c r="AH19" i="25"/>
  <c r="AR29" i="25"/>
  <c r="I29" i="25"/>
  <c r="AH29" i="25"/>
  <c r="AL52" i="25"/>
  <c r="AV52" i="25"/>
  <c r="AV68" i="25"/>
  <c r="AL68" i="25"/>
  <c r="I50" i="25"/>
  <c r="AB50" i="25"/>
  <c r="AA50" i="25"/>
  <c r="AR50" i="25"/>
  <c r="I12" i="25"/>
  <c r="AB12" i="25"/>
  <c r="AR12" i="25"/>
  <c r="AA12" i="25"/>
  <c r="AS19" i="25"/>
  <c r="AO19" i="25"/>
  <c r="AA19" i="25"/>
  <c r="AS29" i="25"/>
  <c r="AO29" i="25"/>
  <c r="AA29" i="25"/>
  <c r="AS30" i="25"/>
  <c r="AA30" i="25"/>
  <c r="AO30" i="25"/>
  <c r="AE70" i="25"/>
  <c r="AF70" i="25"/>
  <c r="AG70" i="25"/>
  <c r="AL50" i="25"/>
  <c r="AE50" i="25"/>
  <c r="AF50" i="25"/>
  <c r="AG50" i="25"/>
  <c r="AB30" i="25"/>
  <c r="AE68" i="25"/>
  <c r="AF68" i="25"/>
  <c r="AG68" i="25"/>
  <c r="AV30" i="25"/>
  <c r="AR10" i="16"/>
  <c r="I10" i="16"/>
  <c r="AB10" i="16"/>
  <c r="AL9" i="16"/>
  <c r="AL31" i="16"/>
  <c r="AV31" i="16"/>
  <c r="AL103" i="16"/>
  <c r="AV103" i="16"/>
  <c r="AL102" i="16"/>
  <c r="AV102" i="16"/>
  <c r="AV149" i="16"/>
  <c r="AR157" i="16"/>
  <c r="AA157" i="16"/>
  <c r="I157" i="16"/>
  <c r="AB157" i="16"/>
  <c r="AS33" i="16"/>
  <c r="AA33" i="16"/>
  <c r="AO33" i="16"/>
  <c r="AR124" i="16"/>
  <c r="I124" i="16"/>
  <c r="AB124" i="16"/>
  <c r="AA124" i="16"/>
  <c r="AR146" i="16"/>
  <c r="I146" i="16"/>
  <c r="AA184" i="16"/>
  <c r="I184" i="16"/>
  <c r="AB184" i="16"/>
  <c r="AR184" i="16"/>
  <c r="AS10" i="16"/>
  <c r="AR8" i="16"/>
  <c r="I8" i="16"/>
  <c r="AB8" i="16"/>
  <c r="AA8" i="16"/>
  <c r="AR29" i="16"/>
  <c r="AA29" i="16"/>
  <c r="AR71" i="16"/>
  <c r="I71" i="16"/>
  <c r="AS138" i="16"/>
  <c r="AA138" i="16"/>
  <c r="AV150" i="16"/>
  <c r="AL150" i="16"/>
  <c r="AA71" i="16"/>
  <c r="AO71" i="16"/>
  <c r="AS71" i="16"/>
  <c r="AV90" i="16"/>
  <c r="AL90" i="16"/>
  <c r="AV105" i="16"/>
  <c r="AL105" i="16"/>
  <c r="AR125" i="16"/>
  <c r="I125" i="16"/>
  <c r="AB125" i="16"/>
  <c r="AA125" i="16"/>
  <c r="AL160" i="16"/>
  <c r="AB183" i="16"/>
  <c r="AE7" i="16"/>
  <c r="AF7" i="16"/>
  <c r="AG7" i="16"/>
  <c r="AH7" i="16"/>
  <c r="AB94" i="16"/>
  <c r="AL147" i="16"/>
  <c r="AV19" i="16"/>
  <c r="AE52" i="16"/>
  <c r="AF52" i="16"/>
  <c r="AG52" i="16"/>
  <c r="AH52" i="16"/>
  <c r="AH102" i="16"/>
  <c r="AR126" i="16"/>
  <c r="I126" i="16"/>
  <c r="AB126" i="16"/>
  <c r="AS185" i="16"/>
  <c r="I18" i="16"/>
  <c r="AB18" i="16"/>
  <c r="AR127" i="16"/>
  <c r="I127" i="16"/>
  <c r="AB127" i="16"/>
  <c r="AS161" i="16"/>
  <c r="AL187" i="16"/>
  <c r="AV11" i="16"/>
  <c r="AA75" i="16"/>
  <c r="AE54" i="16"/>
  <c r="AF54" i="16"/>
  <c r="AG54" i="16"/>
  <c r="Y52" i="16"/>
  <c r="Z52" i="16"/>
  <c r="AB31" i="16"/>
  <c r="AB92" i="16"/>
  <c r="AB186" i="16"/>
  <c r="AB11" i="16"/>
  <c r="AH19" i="18"/>
  <c r="AA51" i="16"/>
  <c r="AO51" i="16"/>
  <c r="AS123" i="18"/>
  <c r="AA123" i="18"/>
  <c r="AB123" i="18"/>
  <c r="AB122" i="18"/>
  <c r="AR9" i="16"/>
  <c r="I9" i="16"/>
  <c r="AB9" i="16"/>
  <c r="AS11" i="18"/>
  <c r="AA11" i="18"/>
  <c r="AB11" i="18"/>
  <c r="AH9" i="18"/>
  <c r="AS132" i="18"/>
  <c r="AO132" i="18"/>
  <c r="AA9" i="16"/>
  <c r="H38" i="26"/>
  <c r="Q38" i="26"/>
  <c r="I38" i="26"/>
  <c r="AR69" i="25"/>
  <c r="I69" i="25"/>
  <c r="AR30" i="16"/>
  <c r="I30" i="16"/>
  <c r="AB50" i="16"/>
  <c r="AA69" i="25"/>
  <c r="AV70" i="25"/>
  <c r="AB74" i="16"/>
  <c r="AL135" i="16"/>
  <c r="I20" i="16"/>
  <c r="AB20" i="16"/>
  <c r="AA12" i="18"/>
  <c r="AA10" i="16"/>
  <c r="I12" i="18"/>
  <c r="AO50" i="25"/>
  <c r="AS50" i="25"/>
  <c r="Y70" i="25"/>
  <c r="Z70" i="25"/>
  <c r="I19" i="26"/>
  <c r="AV73" i="16"/>
  <c r="H10" i="15"/>
  <c r="Q10" i="15"/>
  <c r="AO9" i="16"/>
  <c r="AO10" i="16"/>
  <c r="AE51" i="25"/>
  <c r="AF51" i="25"/>
  <c r="AG51" i="25"/>
  <c r="AH51" i="25"/>
  <c r="AV93" i="16"/>
  <c r="AL19" i="16"/>
  <c r="AL8" i="16"/>
  <c r="I75" i="16"/>
  <c r="AA8" i="18"/>
  <c r="AA92" i="16"/>
  <c r="AR75" i="16"/>
  <c r="AS9" i="16"/>
  <c r="AS8" i="18"/>
  <c r="I68" i="25"/>
  <c r="AS72" i="25"/>
  <c r="AB72" i="25"/>
  <c r="AO72" i="25"/>
  <c r="AA72" i="25"/>
  <c r="AE52" i="25"/>
  <c r="AF52" i="25"/>
  <c r="AG52" i="25"/>
  <c r="Y52" i="25"/>
  <c r="Z52" i="25"/>
  <c r="Y51" i="25"/>
  <c r="Z51" i="25"/>
  <c r="AA30" i="16"/>
  <c r="AS30" i="16"/>
  <c r="AO30" i="16"/>
  <c r="AS32" i="16"/>
  <c r="AO32" i="16"/>
  <c r="AV8" i="25"/>
  <c r="Y130" i="18"/>
  <c r="Z130" i="18"/>
  <c r="AE130" i="18"/>
  <c r="AF130" i="18"/>
  <c r="AG130" i="18"/>
  <c r="AL157" i="16"/>
  <c r="I99" i="15"/>
  <c r="I29" i="16"/>
  <c r="AB29" i="16"/>
  <c r="AE32" i="16"/>
  <c r="AF32" i="16"/>
  <c r="AG32" i="16"/>
  <c r="AH32" i="16"/>
  <c r="AL123" i="16"/>
  <c r="AL184" i="16"/>
  <c r="AE29" i="16"/>
  <c r="AF29" i="16"/>
  <c r="AG29" i="16"/>
  <c r="AL149" i="16"/>
  <c r="AS124" i="18"/>
  <c r="AA124" i="18"/>
  <c r="AA121" i="18"/>
  <c r="Y133" i="18"/>
  <c r="Z133" i="18"/>
  <c r="AE133" i="18"/>
  <c r="AF133" i="18"/>
  <c r="AG133" i="18"/>
  <c r="AH133" i="18"/>
  <c r="AR123" i="18"/>
  <c r="AB136" i="16"/>
  <c r="AH10" i="25"/>
  <c r="AU11" i="25"/>
  <c r="AW11" i="25"/>
  <c r="AS146" i="16"/>
  <c r="AB137" i="16"/>
  <c r="AH150" i="16"/>
  <c r="AH130" i="18"/>
  <c r="BE11" i="16"/>
  <c r="AH88" i="18"/>
  <c r="AB29" i="25"/>
  <c r="B20" i="26"/>
  <c r="AC19" i="26"/>
  <c r="A91" i="18"/>
  <c r="A92" i="18"/>
  <c r="A99" i="18"/>
  <c r="A100" i="18"/>
  <c r="A101" i="18"/>
  <c r="A102" i="18"/>
  <c r="A103" i="18"/>
  <c r="A110" i="18"/>
  <c r="A111" i="18"/>
  <c r="A112" i="18"/>
  <c r="A113" i="18"/>
  <c r="A114" i="18"/>
  <c r="A121" i="18"/>
  <c r="A122" i="18"/>
  <c r="AA91" i="16"/>
  <c r="AS91" i="16"/>
  <c r="AB90" i="16"/>
  <c r="B35" i="15"/>
  <c r="AC34" i="15"/>
  <c r="AH44" i="18"/>
  <c r="AB132" i="18"/>
  <c r="AH124" i="18"/>
  <c r="AB69" i="18"/>
  <c r="AH23" i="18"/>
  <c r="AH34" i="18"/>
  <c r="B12" i="18"/>
  <c r="BD11" i="18"/>
  <c r="B11" i="25"/>
  <c r="BE10" i="25"/>
  <c r="AH90" i="18"/>
  <c r="AB92" i="18"/>
  <c r="AH45" i="18"/>
  <c r="AH20" i="18"/>
  <c r="AH35" i="18"/>
  <c r="AH47" i="18"/>
  <c r="AB32" i="18"/>
  <c r="AB172" i="16"/>
  <c r="AB52" i="16"/>
  <c r="AH139" i="16"/>
  <c r="AL125" i="16"/>
  <c r="AV125" i="16"/>
  <c r="AA146" i="16"/>
  <c r="AS149" i="16"/>
  <c r="AH148" i="16"/>
  <c r="AH33" i="16"/>
  <c r="AH54" i="16"/>
  <c r="AA149" i="16"/>
  <c r="AS90" i="16"/>
  <c r="AO90" i="16"/>
  <c r="AA168" i="16"/>
  <c r="AV138" i="16"/>
  <c r="AU138" i="16"/>
  <c r="AH161" i="16"/>
  <c r="AB168" i="16"/>
  <c r="AH103" i="16"/>
  <c r="AB135" i="16"/>
  <c r="AL138" i="16"/>
  <c r="AH73" i="16"/>
  <c r="AB134" i="16"/>
  <c r="AB150" i="16"/>
  <c r="AV11" i="25"/>
  <c r="AL11" i="25"/>
  <c r="AB139" i="16"/>
  <c r="AO139" i="16"/>
  <c r="AS169" i="16"/>
  <c r="AO169" i="16"/>
  <c r="AB148" i="16"/>
  <c r="AO148" i="16"/>
  <c r="AS137" i="16"/>
  <c r="AO137" i="16"/>
  <c r="AH12" i="25"/>
  <c r="AH72" i="25"/>
  <c r="AH10" i="18"/>
  <c r="AH68" i="18"/>
  <c r="AH101" i="16"/>
  <c r="AS170" i="16"/>
  <c r="AS136" i="16"/>
  <c r="AO136" i="16"/>
  <c r="AS147" i="16"/>
  <c r="AO147" i="16"/>
  <c r="AS172" i="16"/>
  <c r="AO172" i="16"/>
  <c r="AH187" i="16"/>
  <c r="AB51" i="16"/>
  <c r="AH105" i="16"/>
  <c r="AA139" i="16"/>
  <c r="AB101" i="16"/>
  <c r="AH91" i="16"/>
  <c r="AS134" i="16"/>
  <c r="AS135" i="16"/>
  <c r="AA135" i="16"/>
  <c r="AA137" i="16"/>
  <c r="AH123" i="16"/>
  <c r="AB147" i="16"/>
  <c r="AH146" i="16"/>
  <c r="AA169" i="16"/>
  <c r="AH137" i="16"/>
  <c r="AA136" i="16"/>
  <c r="AS174" i="16"/>
  <c r="AS150" i="16"/>
  <c r="AA150" i="16"/>
  <c r="AB169" i="16"/>
  <c r="AS148" i="16"/>
  <c r="AA148" i="16"/>
  <c r="AH66" i="18"/>
  <c r="AH71" i="25"/>
  <c r="AH149" i="16"/>
  <c r="AS168" i="16"/>
  <c r="AH29" i="16"/>
  <c r="AH30" i="16"/>
  <c r="AH134" i="16"/>
  <c r="AB149" i="16"/>
  <c r="AB73" i="16"/>
  <c r="AH21" i="18"/>
  <c r="AH31" i="18"/>
  <c r="AH114" i="18"/>
  <c r="AH89" i="18"/>
  <c r="AH36" i="18"/>
  <c r="AH21" i="16"/>
  <c r="AH49" i="25"/>
  <c r="AH19" i="16"/>
  <c r="AH147" i="16"/>
  <c r="AH22" i="16"/>
  <c r="AH9" i="16"/>
  <c r="AB91" i="16"/>
  <c r="AH104" i="16"/>
  <c r="AB22" i="25"/>
  <c r="AH22" i="25"/>
  <c r="AH184" i="16"/>
  <c r="AH185" i="16"/>
  <c r="AH169" i="16"/>
  <c r="AB72" i="16"/>
  <c r="AH10" i="16"/>
  <c r="AH157" i="16"/>
  <c r="AH8" i="16"/>
  <c r="AB146" i="16"/>
  <c r="AH33" i="18"/>
  <c r="AH121" i="18"/>
  <c r="AB66" i="18"/>
  <c r="AH22" i="18"/>
  <c r="AH112" i="18"/>
  <c r="AH20" i="25"/>
  <c r="AH52" i="25"/>
  <c r="AB19" i="25"/>
  <c r="AH41" i="25"/>
  <c r="AH50" i="25"/>
  <c r="AH70" i="25"/>
  <c r="AH31" i="25"/>
  <c r="AB71" i="16"/>
  <c r="AH71" i="16"/>
  <c r="AH124" i="16"/>
  <c r="AH125" i="16"/>
  <c r="AB30" i="16"/>
  <c r="AH18" i="16"/>
  <c r="AA52" i="16"/>
  <c r="AO52" i="16"/>
  <c r="AS52" i="16"/>
  <c r="AH127" i="16"/>
  <c r="AH126" i="16"/>
  <c r="AB69" i="25"/>
  <c r="AH69" i="25"/>
  <c r="AS51" i="25"/>
  <c r="AA51" i="25"/>
  <c r="AO51" i="25"/>
  <c r="AB51" i="25"/>
  <c r="AB68" i="25"/>
  <c r="AH68" i="25"/>
  <c r="AB75" i="16"/>
  <c r="AH75" i="16"/>
  <c r="AB12" i="18"/>
  <c r="AH12" i="18"/>
  <c r="AS130" i="18"/>
  <c r="AO130" i="18"/>
  <c r="AA130" i="18"/>
  <c r="AB130" i="18"/>
  <c r="AO133" i="18"/>
  <c r="AA133" i="18"/>
  <c r="AB133" i="18"/>
  <c r="AS133" i="18"/>
  <c r="AB52" i="25"/>
  <c r="AO52" i="25"/>
  <c r="AS52" i="25"/>
  <c r="AA52" i="25"/>
  <c r="AO70" i="25"/>
  <c r="AA70" i="25"/>
  <c r="AS70" i="25"/>
  <c r="AB70" i="25"/>
  <c r="AH20" i="16"/>
  <c r="BE18" i="16"/>
  <c r="A123" i="18"/>
  <c r="A124" i="18"/>
  <c r="A130" i="18"/>
  <c r="A131" i="18"/>
  <c r="A132" i="18"/>
  <c r="A133" i="18"/>
  <c r="A134" i="18"/>
  <c r="BE33" i="16"/>
  <c r="B21" i="26"/>
  <c r="AC20" i="26"/>
  <c r="B36" i="15"/>
  <c r="AC35" i="15"/>
  <c r="B19" i="18"/>
  <c r="BD12" i="18"/>
  <c r="B12" i="25"/>
  <c r="BE11" i="25"/>
  <c r="BE53" i="16"/>
  <c r="BE52" i="16"/>
  <c r="BE19" i="16"/>
  <c r="B22" i="26"/>
  <c r="AC21" i="26"/>
  <c r="B37" i="15"/>
  <c r="AC36" i="15"/>
  <c r="BD19" i="18"/>
  <c r="B20" i="18"/>
  <c r="B19" i="25"/>
  <c r="BE12" i="25"/>
  <c r="BE20" i="16"/>
  <c r="BE54" i="16"/>
  <c r="B35" i="26"/>
  <c r="AC22" i="26"/>
  <c r="B38" i="15"/>
  <c r="AC37" i="15"/>
  <c r="B21" i="18"/>
  <c r="BD20" i="18"/>
  <c r="B20" i="25"/>
  <c r="BE19" i="25"/>
  <c r="BE71" i="16"/>
  <c r="BE21" i="16"/>
  <c r="B36" i="26"/>
  <c r="AC35" i="26"/>
  <c r="B39" i="15"/>
  <c r="AC38" i="15"/>
  <c r="B22" i="18"/>
  <c r="BD21" i="18"/>
  <c r="B21" i="25"/>
  <c r="BE20" i="25"/>
  <c r="BE22" i="16"/>
  <c r="BE72" i="16"/>
  <c r="B37" i="26"/>
  <c r="AC36" i="26"/>
  <c r="B67" i="15"/>
  <c r="AC39" i="15"/>
  <c r="BD22" i="18"/>
  <c r="B23" i="18"/>
  <c r="B22" i="25"/>
  <c r="BE21" i="25"/>
  <c r="BE73" i="16"/>
  <c r="BE29" i="16"/>
  <c r="B38" i="26"/>
  <c r="AC37" i="26"/>
  <c r="B68" i="15"/>
  <c r="AC67" i="15"/>
  <c r="B31" i="18"/>
  <c r="BD23" i="18"/>
  <c r="B29" i="25"/>
  <c r="BE22" i="25"/>
  <c r="BE30" i="16"/>
  <c r="BE74" i="16"/>
  <c r="B39" i="26"/>
  <c r="AC39" i="26"/>
  <c r="AC38" i="26"/>
  <c r="B69" i="15"/>
  <c r="AC68" i="15"/>
  <c r="B32" i="18"/>
  <c r="BD31" i="18"/>
  <c r="B30" i="25"/>
  <c r="BE29" i="25"/>
  <c r="BE75" i="16"/>
  <c r="BE31" i="16"/>
  <c r="B70" i="15"/>
  <c r="AC69" i="15"/>
  <c r="B33" i="18"/>
  <c r="BD32" i="18"/>
  <c r="B31" i="25"/>
  <c r="BE30" i="25"/>
  <c r="BE112" i="16"/>
  <c r="BE50" i="16"/>
  <c r="B71" i="15"/>
  <c r="AC70" i="15"/>
  <c r="B34" i="18"/>
  <c r="BD33" i="18"/>
  <c r="B32" i="25"/>
  <c r="BE31" i="25"/>
  <c r="BE51" i="16"/>
  <c r="BE113" i="16"/>
  <c r="B72" i="15"/>
  <c r="AC71" i="15"/>
  <c r="B35" i="18"/>
  <c r="BD34" i="18"/>
  <c r="B39" i="25"/>
  <c r="BE32" i="25"/>
  <c r="BE114" i="16"/>
  <c r="BE90" i="16"/>
  <c r="B101" i="15"/>
  <c r="AC72" i="15"/>
  <c r="B36" i="18"/>
  <c r="BD35" i="18"/>
  <c r="B40" i="25"/>
  <c r="BE39" i="25"/>
  <c r="BE91" i="16"/>
  <c r="BE115" i="16"/>
  <c r="B102" i="15"/>
  <c r="AC102" i="15"/>
  <c r="AC101" i="15"/>
  <c r="B44" i="18"/>
  <c r="BD36" i="18"/>
  <c r="B41" i="25"/>
  <c r="BE40" i="25"/>
  <c r="AE39" i="25"/>
  <c r="AF39" i="25"/>
  <c r="AG39" i="25"/>
  <c r="AH39" i="25"/>
  <c r="BE92" i="16"/>
  <c r="BE116" i="16"/>
  <c r="B45" i="18"/>
  <c r="BD44" i="18"/>
  <c r="B42" i="25"/>
  <c r="BE41" i="25"/>
  <c r="BE123" i="16"/>
  <c r="BE93" i="16"/>
  <c r="B46" i="18"/>
  <c r="BD45" i="18"/>
  <c r="B49" i="25"/>
  <c r="BE42" i="25"/>
  <c r="BE94" i="16"/>
  <c r="BE124" i="16"/>
  <c r="B47" i="18"/>
  <c r="BD46" i="18"/>
  <c r="B50" i="25"/>
  <c r="BE49" i="25"/>
  <c r="BE125" i="16"/>
  <c r="BE101" i="16"/>
  <c r="B48" i="18"/>
  <c r="BD47" i="18"/>
  <c r="B51" i="25"/>
  <c r="BE50" i="25"/>
  <c r="BE127" i="16"/>
  <c r="BE102" i="16"/>
  <c r="B65" i="18"/>
  <c r="BD48" i="18"/>
  <c r="B52" i="25"/>
  <c r="BE51" i="25"/>
  <c r="BE134" i="16"/>
  <c r="BE103" i="16"/>
  <c r="B66" i="18"/>
  <c r="BD65" i="18"/>
  <c r="B68" i="25"/>
  <c r="BE52" i="25"/>
  <c r="BE135" i="16"/>
  <c r="BE104" i="16"/>
  <c r="B67" i="18"/>
  <c r="BD66" i="18"/>
  <c r="B69" i="25"/>
  <c r="BE68" i="25"/>
  <c r="BE105" i="16"/>
  <c r="BE137" i="16"/>
  <c r="B68" i="18"/>
  <c r="BD67" i="18"/>
  <c r="B70" i="25"/>
  <c r="BE69" i="25"/>
  <c r="BE138" i="16"/>
  <c r="BE126" i="16"/>
  <c r="B69" i="18"/>
  <c r="BD68" i="18"/>
  <c r="B71" i="25"/>
  <c r="BE70" i="25"/>
  <c r="BE136" i="16"/>
  <c r="BE139" i="16"/>
  <c r="BD69" i="18"/>
  <c r="B87" i="18"/>
  <c r="BE71" i="25"/>
  <c r="B72" i="25"/>
  <c r="BE72" i="25"/>
  <c r="BE148" i="16"/>
  <c r="BE146" i="16"/>
  <c r="B88" i="18"/>
  <c r="BD87" i="18"/>
  <c r="BE147" i="16"/>
  <c r="BE157" i="16"/>
  <c r="BD88" i="18"/>
  <c r="B89" i="18"/>
  <c r="BE169" i="16"/>
  <c r="B170" i="16"/>
  <c r="BE149" i="16"/>
  <c r="B90" i="18"/>
  <c r="B91" i="18"/>
  <c r="BD89" i="18"/>
  <c r="BE150" i="16"/>
  <c r="BE170" i="16"/>
  <c r="B171" i="16"/>
  <c r="B92" i="18"/>
  <c r="BD91" i="18"/>
  <c r="BD90" i="18"/>
  <c r="B172" i="16"/>
  <c r="BE171" i="16"/>
  <c r="BE158" i="16"/>
  <c r="B159" i="16"/>
  <c r="B99" i="18"/>
  <c r="BD92" i="18"/>
  <c r="B160" i="16"/>
  <c r="BE159" i="16"/>
  <c r="B173" i="16"/>
  <c r="BE172" i="16"/>
  <c r="B100" i="18"/>
  <c r="BD99" i="18"/>
  <c r="B161" i="16"/>
  <c r="BE160" i="16"/>
  <c r="B174" i="16"/>
  <c r="BE173" i="16"/>
  <c r="B101" i="18"/>
  <c r="BD100" i="18"/>
  <c r="B183" i="16"/>
  <c r="BE174" i="16"/>
  <c r="B168" i="16"/>
  <c r="BE168" i="16"/>
  <c r="BE161" i="16"/>
  <c r="B102" i="18"/>
  <c r="BD101" i="18"/>
  <c r="BE183" i="16"/>
  <c r="B184" i="16"/>
  <c r="B103" i="18"/>
  <c r="B111" i="18"/>
  <c r="BD102" i="18"/>
  <c r="BD111" i="18"/>
  <c r="B112" i="18"/>
  <c r="B185" i="16"/>
  <c r="BE184" i="16"/>
  <c r="BD103" i="18"/>
  <c r="B113" i="18"/>
  <c r="BD112" i="18"/>
  <c r="B186" i="16"/>
  <c r="BE185" i="16"/>
  <c r="B114" i="18"/>
  <c r="BD113" i="18"/>
  <c r="B187" i="16"/>
  <c r="BE187" i="16"/>
  <c r="BE186" i="16"/>
  <c r="B121" i="18"/>
  <c r="BD114" i="18"/>
  <c r="B122" i="18"/>
  <c r="BD121" i="18"/>
  <c r="B123" i="18"/>
  <c r="BD122" i="18"/>
  <c r="BD123" i="18"/>
  <c r="B124" i="18"/>
  <c r="B130" i="18"/>
  <c r="BD124" i="18"/>
  <c r="B131" i="18"/>
  <c r="BD130" i="18"/>
  <c r="BD131" i="18"/>
  <c r="B132" i="18"/>
  <c r="B133" i="18"/>
  <c r="BD132" i="18"/>
  <c r="BD133" i="18"/>
  <c r="B134" i="18"/>
  <c r="BD13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Warren</author>
  </authors>
  <commentList>
    <comment ref="AJ91" authorId="0" shapeId="0" xr:uid="{071E14FB-A3C3-436C-B37A-98C70361F10C}">
      <text>
        <r>
          <rPr>
            <b/>
            <sz val="9"/>
            <color indexed="81"/>
            <rFont val="Tahoma"/>
            <family val="2"/>
          </rPr>
          <t>William Warren:</t>
        </r>
        <r>
          <rPr>
            <sz val="9"/>
            <color indexed="81"/>
            <rFont val="Tahoma"/>
            <family val="2"/>
          </rPr>
          <t xml:space="preserve">
wa 91, made the same
</t>
        </r>
      </text>
    </comment>
  </commentList>
</comments>
</file>

<file path=xl/sharedStrings.xml><?xml version="1.0" encoding="utf-8"?>
<sst xmlns="http://schemas.openxmlformats.org/spreadsheetml/2006/main" count="4142" uniqueCount="1248">
  <si>
    <t>Additonal minutes gained traveling Round-Trip Door-to-Door ( D2D) using Air versus HSR</t>
  </si>
  <si>
    <t>Minutes gained traveling round-trip Door-to-Door using Air + (2*45minutes for security) versus HSR</t>
  </si>
  <si>
    <t>Auto Travel - Distances + Total Travel Times &amp; Costs</t>
  </si>
  <si>
    <t>Because Sacramento-Merced Bus Miles are already counted in that fare, these miles are only for Merced-Fresno (58.8miles), San Jose-Fresno and LAUS-Fresno</t>
  </si>
  <si>
    <t>Since Dr. Jones' paper did not address Fresno-Merced, 59miles are added since these miles are not charged in the Authority bus ride</t>
  </si>
  <si>
    <t>Yosemite Valley-SF/292miles</t>
  </si>
  <si>
    <t>Yosemite Valley-LA/360miles</t>
  </si>
  <si>
    <t>Yosemite Valley-Bakersfield/200miles</t>
  </si>
  <si>
    <t>Yosemite Valley-Sacramento/265miles</t>
  </si>
  <si>
    <t>Yosemite Valley-Bakersfield/                                             200miles</t>
  </si>
  <si>
    <t>Yosemite Valley-Sacramento/                                                265miles</t>
  </si>
  <si>
    <t xml:space="preserve">Note that HSR miles are often longer than driving miles and that the HSR miles above are not the samae as the shorter HSR miles used to calculate formula based fares. Also note that the distance from origin to Long Beach is the total miles of an HSR traveler and not those used in calculating HSR travel times or fares. The differences are driving miles that are used for Auto , bus and rail travel     
</t>
  </si>
  <si>
    <t xml:space="preserve">n.a </t>
  </si>
  <si>
    <t>n.a.</t>
  </si>
  <si>
    <t>Round Trip Door-to-Door Air Total Travel Time = ( 2*flight times) + (2*71 minutes) of access+egress times + (2*45minutes) of extra time above that of HSR wait time for airport security</t>
  </si>
  <si>
    <t>Calculation is =  (2*flight times) + 98minutes (2*49) of access+egress for outbound trip AND 98minutes (2*49) for return trip + (2*45minutes) extra time for security at the Origin and Destination airports</t>
  </si>
  <si>
    <r>
      <t>San Francisco-Anaheim</t>
    </r>
    <r>
      <rPr>
        <b/>
        <sz val="7"/>
        <color indexed="8"/>
        <rFont val="Calibri"/>
        <family val="2"/>
      </rPr>
      <t>/                                               493miles</t>
    </r>
  </si>
  <si>
    <t>San Diego-BUR/                                                 126miles</t>
  </si>
  <si>
    <t>San Diego-Palmdale/                                     175miles</t>
  </si>
  <si>
    <t>Burbank-Merced/                                              320miles</t>
  </si>
  <si>
    <t>San Jose-OC Gateway/                                     432 miles</t>
  </si>
  <si>
    <t>San Jose-Anaheim/                         445miles</t>
  </si>
  <si>
    <t>Millbrae-Burbank/                                  445miles</t>
  </si>
  <si>
    <t>Merced-KT Hanford/                                          128miles</t>
  </si>
  <si>
    <t>Gilroy-Bakersfield/228miles</t>
  </si>
  <si>
    <t>Wait (or Transfer) Time for HSR ride to Merced and Sacramento after HSR ride to Fresno (minutes)</t>
  </si>
  <si>
    <t>H</t>
  </si>
  <si>
    <t>Burbank (BUR)-LAUS/     6miles</t>
  </si>
  <si>
    <t>Caltrain, Metrolink &amp; Amtrak</t>
  </si>
  <si>
    <t>Gilroy-Long Beach/                    413miles</t>
  </si>
  <si>
    <t>Millbrae-OC Gateway/                                    465miles</t>
  </si>
  <si>
    <t>Millbrae-Anaheim/                                    478miles</t>
  </si>
  <si>
    <t xml:space="preserve">Elements of High-Speed Rail Total Travel Times and Table 3.1-Based Fares </t>
  </si>
  <si>
    <r>
      <t>San Jose-San Diego</t>
    </r>
    <r>
      <rPr>
        <b/>
        <sz val="7"/>
        <color indexed="8"/>
        <rFont val="Calibri"/>
        <family val="2"/>
      </rPr>
      <t>/                        546miles</t>
    </r>
  </si>
  <si>
    <t>Origins &amp; Destinations – Total one-way miles traveled by an Authority customer, including by HSR, Authority Bus, Auto, BART, Caltrain, Metrolink, Amtrak, etc.</t>
  </si>
  <si>
    <t>Origins &amp; Destinations – Total one-way miles traveled by an Authority customer, including via HSR, Authority Bus, Auto, BART, Caltrain, Metrolink, Amtrak, etc.</t>
  </si>
  <si>
    <t>Anaheim-Merced/                                                      353miles</t>
  </si>
  <si>
    <t>OC Gateway-Bakersfield/                                           174miles</t>
  </si>
  <si>
    <t>Gilroy-Fresno/                                              121miles</t>
  </si>
  <si>
    <t>San Jose-Fresno/                                   151miles</t>
  </si>
  <si>
    <t>Giroy-KT/Hanford/                                              165miles</t>
  </si>
  <si>
    <t>San Jose-KT Hanford/                                             195miles</t>
  </si>
  <si>
    <t>Palmdale-Bakersfield/                                                   103miles</t>
  </si>
  <si>
    <t>Burbank (BUR)-Bakersfield/                                       154miles</t>
  </si>
  <si>
    <t>KT Hanford-Palmdale/                                                 166miles</t>
  </si>
  <si>
    <t>Auto, Caltrain, Metrolink &amp; Amtrak</t>
  </si>
  <si>
    <t>Santa Barbara-Monterey/590miles</t>
  </si>
  <si>
    <t>Santa Barbara-Fresno/366miles</t>
  </si>
  <si>
    <t>Santa Barbara-San Diego/219miles</t>
  </si>
  <si>
    <t>Santa Barbara-Monterey/                              590miles</t>
  </si>
  <si>
    <t>Santa Barbara-Sacramento/                             538miles</t>
  </si>
  <si>
    <t>Santa Barbara-Fresno/                                      366miles</t>
  </si>
  <si>
    <t>Santa Barbara-San Diego/                               219miles</t>
  </si>
  <si>
    <t>Redding-San Jose/522miles</t>
  </si>
  <si>
    <t>Redding-LA/590miles</t>
  </si>
  <si>
    <t>Redding-Fresno/323miles</t>
  </si>
  <si>
    <t>Redding-San Diego/                                          710miles</t>
  </si>
  <si>
    <t>Redding-San Diego/710miles</t>
  </si>
  <si>
    <t>South Lake Tahoe-San Jose/425miles</t>
  </si>
  <si>
    <t>South Lake Tahoe-Fresno/274miles</t>
  </si>
  <si>
    <t>South Lake Tahoe-San Jose/                               425miles</t>
  </si>
  <si>
    <t>South Lake Tahoe-Fresno/                                      274miles</t>
  </si>
  <si>
    <t>Monterey-Santa Barbara/585miles</t>
  </si>
  <si>
    <t>Monterey-Redding/556miles</t>
  </si>
  <si>
    <t>Monterey-South Lake Tahoe/499miles</t>
  </si>
  <si>
    <t>Santa Barbara-Redding/695miles</t>
  </si>
  <si>
    <t>Santa Barbara-South Lake Tahoe/638miles</t>
  </si>
  <si>
    <r>
      <t>South Lake Tahoe</t>
    </r>
    <r>
      <rPr>
        <b/>
        <sz val="9"/>
        <color indexed="8"/>
        <rFont val="Calibri"/>
        <family val="2"/>
      </rPr>
      <t>-</t>
    </r>
    <r>
      <rPr>
        <b/>
        <sz val="9"/>
        <color indexed="8"/>
        <rFont val="Calibri"/>
        <family val="2"/>
      </rPr>
      <t>L</t>
    </r>
    <r>
      <rPr>
        <b/>
        <sz val="9"/>
        <color indexed="8"/>
        <rFont val="Calibri"/>
        <family val="2"/>
      </rPr>
      <t>os Angeles</t>
    </r>
    <r>
      <rPr>
        <b/>
        <sz val="9"/>
        <color indexed="8"/>
        <rFont val="Calibri"/>
        <family val="2"/>
      </rPr>
      <t>/541miles</t>
    </r>
  </si>
  <si>
    <t>South Lake Tahoe-San Diego/661miles</t>
  </si>
  <si>
    <t>Distances are only the HSR portion of the LAUS-originated trip. Authority Bus miles and Amtrak miles are accounted for in the costs of those rides found. in other columns</t>
  </si>
  <si>
    <r>
      <t>San Diego-Bakersfield</t>
    </r>
    <r>
      <rPr>
        <b/>
        <sz val="7"/>
        <color indexed="8"/>
        <rFont val="Calibri"/>
        <family val="2"/>
      </rPr>
      <t>/                                   283miles</t>
    </r>
  </si>
  <si>
    <t>OC Gateway-Anaheim/                     13miles</t>
  </si>
  <si>
    <t>LAUS-OC Gateway/              14miles</t>
  </si>
  <si>
    <t>Burbank-OC Gateway/                20miles</t>
  </si>
  <si>
    <t>SF-Millbrae/                  15miles</t>
  </si>
  <si>
    <t>LAUS Anaheim/                 27miles</t>
  </si>
  <si>
    <t>San Jose-Gilroy/                 30miles</t>
  </si>
  <si>
    <t>Millbrae-San Jose/                                    33miles</t>
  </si>
  <si>
    <t>Burbank (BUR)-Anaheim/                             33miles</t>
  </si>
  <si>
    <t>SF-Gilroy/78miles</t>
  </si>
  <si>
    <t>Palmdale-Anaheim/84miles</t>
  </si>
  <si>
    <t>Fresno-Bakersfield/107miles</t>
  </si>
  <si>
    <t>Merced-Bakersfield/166miles</t>
  </si>
  <si>
    <t>Fresno-Bakersfield/                                                   107miles</t>
  </si>
  <si>
    <t>#1 above</t>
  </si>
  <si>
    <t>#2 above</t>
  </si>
  <si>
    <t>#3 above</t>
  </si>
  <si>
    <t>Palmdale-Anaheim/                                                   84miles</t>
  </si>
  <si>
    <t>Merced-Bakersfield/                                                  166miles</t>
  </si>
  <si>
    <t>Giroy-KT Hanford/165miles</t>
  </si>
  <si>
    <t>Anaheim-KT  Hanford/250miles</t>
  </si>
  <si>
    <t>OC Gateway-Fresno/281miles</t>
  </si>
  <si>
    <t>OC Gateway-KT Hanford/237miles</t>
  </si>
  <si>
    <t>Anaheim-KT  Hanford/                                           250miles</t>
  </si>
  <si>
    <t>OC Gateway-KT Hanford/                                 237miles</t>
  </si>
  <si>
    <r>
      <t>San Diego-Merced</t>
    </r>
    <r>
      <rPr>
        <b/>
        <sz val="7"/>
        <rFont val="Calibri"/>
        <family val="2"/>
      </rPr>
      <t>/                                          446miles</t>
    </r>
  </si>
  <si>
    <t>A</t>
  </si>
  <si>
    <t>B</t>
  </si>
  <si>
    <t>C</t>
  </si>
  <si>
    <t>D</t>
  </si>
  <si>
    <t>E</t>
  </si>
  <si>
    <t>F</t>
  </si>
  <si>
    <t xml:space="preserve">Note that HSR miles are often longer than driving miles and that the HSR miles above are not the samae as the shorter HSR miles used to calculate formula based fares     </t>
  </si>
  <si>
    <r>
      <t xml:space="preserve">Anahiem-Gilroy/                                           </t>
    </r>
    <r>
      <rPr>
        <b/>
        <sz val="6"/>
        <rFont val="Calibri"/>
        <family val="2"/>
      </rPr>
      <t>415miles</t>
    </r>
  </si>
  <si>
    <r>
      <t>San Diego-KT Hanford</t>
    </r>
    <r>
      <rPr>
        <b/>
        <sz val="7"/>
        <rFont val="Calibri"/>
        <family val="2"/>
      </rPr>
      <t>/                                          322miles</t>
    </r>
  </si>
  <si>
    <t xml:space="preserve"> </t>
  </si>
  <si>
    <r>
      <t>Millbrae-Anaheim/</t>
    </r>
    <r>
      <rPr>
        <b/>
        <sz val="7"/>
        <color indexed="8"/>
        <rFont val="Calibri"/>
        <family val="2"/>
      </rPr>
      <t>478miles</t>
    </r>
  </si>
  <si>
    <r>
      <t>MTCs Longest Distance  SFTBT-Gilroy</t>
    </r>
    <r>
      <rPr>
        <b/>
        <sz val="7"/>
        <color indexed="8"/>
        <rFont val="Calibri"/>
        <family val="2"/>
      </rPr>
      <t>/78miles</t>
    </r>
  </si>
  <si>
    <r>
      <t>SCAG's Longest Distance  Anaheim-Palmdale</t>
    </r>
    <r>
      <rPr>
        <b/>
        <sz val="7"/>
        <color indexed="8"/>
        <rFont val="Calibri"/>
        <family val="2"/>
      </rPr>
      <t>/84miles</t>
    </r>
  </si>
  <si>
    <t>OC Gateway-Anaheim/13miles</t>
  </si>
  <si>
    <t>LAUS-OC Gateway/14miles</t>
  </si>
  <si>
    <t>SF-Millbrae/15miles</t>
  </si>
  <si>
    <t>Burbank-OC Gateway/20miles</t>
  </si>
  <si>
    <t>LAUS Anaheim/27miles</t>
  </si>
  <si>
    <t>Burbank (BUR)-LAUS/ 6miles</t>
  </si>
  <si>
    <t>San Jose-Gilroy/30miles</t>
  </si>
  <si>
    <t>Millbrae-San Jose/33miles</t>
  </si>
  <si>
    <t>Burbank (BUR)-Anaheim/33miles</t>
  </si>
  <si>
    <t>SF-San Jose 48miles</t>
  </si>
  <si>
    <t xml:space="preserve">Burbank-Palmdale/ 51miles </t>
  </si>
  <si>
    <t>Origins &amp; Destinations – Total one-way miles traveled by an Authority customer, including via HSR, Authority Bus, Auto, Greyhound Bus, etc.</t>
  </si>
  <si>
    <t>Santa Barbara-S. Lake Tahoe/                             638miles</t>
  </si>
  <si>
    <t>Santa Barbara-Redding/                                  695miles</t>
  </si>
  <si>
    <t>Monterey-South Lake Tahoe/                            499miles</t>
  </si>
  <si>
    <t>Monterey-Redding/                                        556miles</t>
  </si>
  <si>
    <t>Monterey-Santa Barbara/                   585miles</t>
  </si>
  <si>
    <t xml:space="preserve">Based on Table A.3.1 p. A-3 [PDF 63] of the 2016 Business Plan, Ridership and Revenue Forecasting, Technical Supporting Document, which says Transfer Time is 15minutes, then a similar logic follows.  </t>
  </si>
  <si>
    <t>n. a.</t>
  </si>
  <si>
    <t>Oakland-Fresno/209miles</t>
  </si>
  <si>
    <t>Oakland-KT Hanford/253miles</t>
  </si>
  <si>
    <t>Oakland-Bakersfield/316miles</t>
  </si>
  <si>
    <t>Oakland-KT Hanford/                253miles</t>
  </si>
  <si>
    <t>Oakland-Merced/                       268miles</t>
  </si>
  <si>
    <t>Oakland-Bakersfield/                            316miles</t>
  </si>
  <si>
    <t>Oakland-Sacramento/                                324miles</t>
  </si>
  <si>
    <t>G</t>
  </si>
  <si>
    <t xml:space="preserve">n.a. </t>
  </si>
  <si>
    <t>Other Transfer times (Wait Times) to onward destinations</t>
  </si>
  <si>
    <t>Other Run Times by HSR or other transport modes to onward destinations</t>
  </si>
  <si>
    <t>No prior-to-HSR-travel by BART, Metrolink, Amtrak or an Authority Dedicated Bus in these calculations</t>
  </si>
  <si>
    <t>Fresno-Sacramento/                         172miles</t>
  </si>
  <si>
    <t>Merced-Gilroy/                                               180miles</t>
  </si>
  <si>
    <t>Fresno-Palmdale/                                      210miles</t>
  </si>
  <si>
    <t>Fresno-Burbank (BUR)/                         261miles</t>
  </si>
  <si>
    <t>Bakersfield-Millbrae/                           291miles</t>
  </si>
  <si>
    <t>Fresno-Anaheim/                                         294miles</t>
  </si>
  <si>
    <t>Merced-OC Gateway/                                      340miles</t>
  </si>
  <si>
    <t>San Diego-LA/                                          120miles</t>
  </si>
  <si>
    <t>San Jose-Bakersfield/258miles</t>
  </si>
  <si>
    <t>San Jose-Bakersfield/                                      258miles</t>
  </si>
  <si>
    <t xml:space="preserve">SFTBT is four blocks from BART's Embarcadero Station. It takes 10minutes to leave SFTBT and walk to that station and another 15minutes to wait to board BART for Oakland's 12th St. Center. </t>
  </si>
  <si>
    <t>The BART trip between Embarcadero SF and 12th St. Oakland takes 12minutes and costs $3.45.</t>
  </si>
  <si>
    <r>
      <t xml:space="preserve">San Diego-Fresno/                                          </t>
    </r>
    <r>
      <rPr>
        <b/>
        <sz val="7"/>
        <rFont val="Calibri"/>
        <family val="2"/>
      </rPr>
      <t>390miles</t>
    </r>
  </si>
  <si>
    <t xml:space="preserve">With no planned electrifcation of LAUS-Long Beach, HSR patrons must take Metro Blue, requiring a transfer, or wait time of at least 15minutes. The transfer time at LAUS for Amtrak to San Diego is 30minutes since Amtrak's Pacific Surliner runs hourly. </t>
  </si>
  <si>
    <t>n.a</t>
  </si>
  <si>
    <t>Monterey-Fresno/                                    225miles</t>
  </si>
  <si>
    <t>Monterey-San Diego/                                612miles</t>
  </si>
  <si>
    <t>Monterey-Sacramento/                          396miles</t>
  </si>
  <si>
    <t>na</t>
  </si>
  <si>
    <r>
      <t xml:space="preserve">SF-Millbrae/                </t>
    </r>
    <r>
      <rPr>
        <b/>
        <sz val="9"/>
        <rFont val="Calibri"/>
        <family val="2"/>
      </rPr>
      <t xml:space="preserve">         </t>
    </r>
    <r>
      <rPr>
        <b/>
        <sz val="9"/>
        <rFont val="Calibri"/>
        <family val="2"/>
      </rPr>
      <t xml:space="preserve">  15miles</t>
    </r>
  </si>
  <si>
    <t>Bakersfield-Palmdale/103miles</t>
  </si>
  <si>
    <t>KT Hanford-Palmdale/166miles</t>
  </si>
  <si>
    <t>Elements of Formula-Based Fares + Other Tansport Fares</t>
  </si>
  <si>
    <t>Gilroy-Bakersfield/                           228miles</t>
  </si>
  <si>
    <t>J</t>
  </si>
  <si>
    <t>I</t>
  </si>
  <si>
    <t xml:space="preserve">Since the Embarcadero BART station is three blocks from SFTBT, the Tranfer Time is a 10minute walk and a 15minute wait for HSR at SFTBT. </t>
  </si>
  <si>
    <t>Air Travel - Total Travel Times &amp; Total Travel Costs</t>
  </si>
  <si>
    <t>Auto Travel – Distances,Total Travel Times &amp; Total Travel Costs</t>
  </si>
  <si>
    <t>San Jose-Long Beach/                         443miles</t>
  </si>
  <si>
    <t>Millbrae-Long Beach/                                    476miles</t>
  </si>
  <si>
    <t>See p. A-3 [PDF 63] of the 2016 Ridership and Revenue Forecasting, Technical Supporting Document</t>
  </si>
  <si>
    <t>"</t>
  </si>
  <si>
    <t>While Auto and Air Travel can be computed for the Other Region-Other Region City Pair of Redding-South Lake Tahoe, there is NO Authority HSR or bus service between Redding and South Lake Tahoe; therefore calculations of high-speed rail's Total Travel Time and Total Travel Costs would be meaningless</t>
  </si>
  <si>
    <r>
      <t xml:space="preserve">OC Gateway-Gilroy </t>
    </r>
    <r>
      <rPr>
        <b/>
        <sz val="7"/>
        <color indexed="8"/>
        <rFont val="Calibri"/>
        <family val="2"/>
      </rPr>
      <t>/                                                     402miles</t>
    </r>
  </si>
  <si>
    <t>Gilroy-Fresno/121miles</t>
  </si>
  <si>
    <t>San Jose-Fresno/151miles</t>
  </si>
  <si>
    <t>San Jose-KT Hanford/195miles</t>
  </si>
  <si>
    <t>OC Gateway-Bakersfield/174miles</t>
  </si>
  <si>
    <t>Bakersfield-Anaheim/187miles</t>
  </si>
  <si>
    <t>Fresno-Palmdale/210miles</t>
  </si>
  <si>
    <t>Bakersfield-Millbrae/291miles</t>
  </si>
  <si>
    <t>Fresno-Anaheim/294miles</t>
  </si>
  <si>
    <t>Sacramento-Merced/118miles</t>
  </si>
  <si>
    <t>Bakersfield-Anaheim/                                             187miles</t>
  </si>
  <si>
    <r>
      <t>South Laike Tahoe-L</t>
    </r>
    <r>
      <rPr>
        <b/>
        <sz val="9"/>
        <color indexed="8"/>
        <rFont val="Calibri"/>
        <family val="2"/>
      </rPr>
      <t>os Angeles</t>
    </r>
    <r>
      <rPr>
        <b/>
        <sz val="9"/>
        <color indexed="8"/>
        <rFont val="Calibri"/>
        <family val="2"/>
      </rPr>
      <t>/                                        541miles</t>
    </r>
  </si>
  <si>
    <r>
      <t>South Lake</t>
    </r>
    <r>
      <rPr>
        <b/>
        <sz val="9"/>
        <color indexed="8"/>
        <rFont val="Calibri"/>
        <family val="2"/>
      </rPr>
      <t xml:space="preserve"> Tahoe</t>
    </r>
    <r>
      <rPr>
        <b/>
        <sz val="9"/>
        <color indexed="8"/>
        <rFont val="Calibri"/>
        <family val="2"/>
      </rPr>
      <t>-San Diego/                                         661miles</t>
    </r>
  </si>
  <si>
    <r>
      <t>SJV's Longest Distance Merced-Bakersfield</t>
    </r>
    <r>
      <rPr>
        <b/>
        <sz val="7"/>
        <rFont val="Calibri"/>
        <family val="2"/>
      </rPr>
      <t>/164miles</t>
    </r>
  </si>
  <si>
    <t xml:space="preserve"> Run Times from Appendix A.2, Table A.2.1, p. A-2 [PDF 62] of the DRAFT 2018 Ridership and Revenue Forecasting, Technical Supporting Document. </t>
  </si>
  <si>
    <t>LAUS-Anaheim/27miles</t>
  </si>
  <si>
    <t>For 23¢/mile, see Table 3.3, p.3-4  [PDF 32] of CA High-Speed Rail 2018 Business Plan, Ridership and Revenue Forecasting: Technical Supporting Document.</t>
  </si>
  <si>
    <t>No prior-to-HSR-travel by BART, Metrolink, Amtrak or an Authority Dedicated Bus are in these calculations</t>
  </si>
  <si>
    <t>Per occupant Auto costs based on 110% of 23¢/mile (29¢/mile). For the Authority-set 23¢/mile, see Table 3.3, p.3-4  [PDF 32] of the CA High-Speed Rail DRAFT 2018 Business Plan, Ridership and Revenue Forecasting: Technical Supporting Document.</t>
  </si>
  <si>
    <t>For 23¢/mile, see Table 3.3, p.3-4  [PDF 32] of CA High-Speed Rail DRAFT 2018 Business Plan, Ridership and Revenue Forecasting: Technical Supporting Document.</t>
  </si>
  <si>
    <t>Another 15minutes must be added for Merced-Sacramento route as passengers must transfer to/from an Authority Dedicated bus</t>
  </si>
  <si>
    <t>Fresno-Merced requires a 15minute transfer time and a 25minute HSR ride to Merced.  See Table A.2.1, p. A-2 [PDF 62] of the 2016 Business Plan, Ridership and Revenue Forecasting, Technical Supporting Document.</t>
  </si>
  <si>
    <t>Merced-Madera requires a 15minute transfer time and a 15minute HSR ride to Merced.  See Table A.2.1, p. A-2 [PDF 62] of the 2016 Business Plan, Ridership and Revenue Forecasting, Technical Supporting Document.</t>
  </si>
  <si>
    <t>Palmdale-Madera/234miles</t>
  </si>
  <si>
    <t>Anaheim-Madera/277miles</t>
  </si>
  <si>
    <t>OC Gateway-Madera/263miles</t>
  </si>
  <si>
    <t>Since the Dr. Paul Jones (2015) did not analyze Origins and Distances between Madera, the Authors chose to use Google Maps and Driving Distances, which makes Auto and HSR milage equal, although in most other cases, HSR mileage is longer.</t>
  </si>
  <si>
    <t>Gilroy-Madera/95miles</t>
  </si>
  <si>
    <t>San Jose-Madera/127miles</t>
  </si>
  <si>
    <t>Millbrae-Madera/164miles</t>
  </si>
  <si>
    <t>K</t>
  </si>
  <si>
    <t>Palmdale-Madera/                                      234miles</t>
  </si>
  <si>
    <t>Burbank (BUR)-Madera/                                         236miles</t>
  </si>
  <si>
    <t>OC Gateway-Madera/                                                  263miles</t>
  </si>
  <si>
    <t>Anaheim-Madera/                                                                277miles</t>
  </si>
  <si>
    <t>Gilroy-Madera/                                  95miles</t>
  </si>
  <si>
    <t>San Jose-Madera/                                                     127miles</t>
  </si>
  <si>
    <t>Millbrae-Madera/                                              164miles</t>
  </si>
  <si>
    <t>Transfer Time for Amtrak to HSR or HSR to Amtrak is 30minutes because Amtrak's trains only run hourly</t>
  </si>
  <si>
    <t xml:space="preserve">Fares are from Table 2.2, p. 2-5 [PDF 25] of the DRAFT 2018  Plan's Ridership and Revenue Forecasting, Techical Supporting Document. 
</t>
  </si>
  <si>
    <r>
      <t>Long Beach-Oakland</t>
    </r>
    <r>
      <rPr>
        <b/>
        <sz val="7"/>
        <color indexed="8"/>
        <rFont val="Calibri"/>
        <family val="2"/>
      </rPr>
      <t>/                                                      503miles</t>
    </r>
  </si>
  <si>
    <t>San Jose-Burbank (BUR)/                            412miles</t>
  </si>
  <si>
    <t>Anaheim-Gilroy/415miles</t>
  </si>
  <si>
    <t>In Long Beach, HSR patrons must wiat to take transit to LAUS, but this 15 minutes is not counted here. However, they must tranfer at LAUS to proceed north. See notes on p. A-2 [PDF 62] of 2018 Business Plan, Ridership and Revenue Forecasting, Technical Supporting Document</t>
  </si>
  <si>
    <t xml:space="preserve">See Appendix 2, Table A.2.2, p. A-2 [PDF 62] of 2018 Business Plan, Ridership and Revenue Forecasting, Technical Supporting Document
</t>
  </si>
  <si>
    <t>With no planned electrifcation of LAUS-Long Beach, HSR patrons must take Metro Blue, requiring a transfer, or wait time of at least 15minutes.</t>
  </si>
  <si>
    <t>False Phase 1:       One-Way Auto Driving Miles</t>
  </si>
  <si>
    <t xml:space="preserve">False Phase 1:             Round-trip Auto driving miles </t>
  </si>
  <si>
    <t>False Phase 1:           Total Round-Trip Auto Travel Times  (minutes)</t>
  </si>
  <si>
    <t>False Phase 1:                Round-Trip Door-to-Door Auto Travel Times + 15% upwards adjustment for travel times with traffic congestion</t>
  </si>
  <si>
    <t>False Phase 1:                   Cost of Driving Alone Round-Trip @ 23¢/mile, the Authority's metric for fully-loaded auto costs</t>
  </si>
  <si>
    <t>False Phase 1:                        Per person cost of intra-regional round-trip by Auto; i.e. driver with one passenger = (.5 * 110% of 23¢/mile *miles)</t>
  </si>
  <si>
    <t>False Phase 1:             Per person fares for intra-regional round-trip by Caltrain, Metrolink or Amtrak (2017 $$s)</t>
  </si>
  <si>
    <t>False Phase 1:           One-Way HSR distances between city pair centers. Based on work of Dr. Paul Jones (2015) point-to-point mileage</t>
  </si>
  <si>
    <t>False Phase 1:          HSR One-Way Run Times (minutes)   n.b. inside SACOG and SANDAG there is NO HSR service during False Phase 1</t>
  </si>
  <si>
    <t>False Phase 1:           Total Round-Trip HSR Times.plus 71minutes of access+egress times for the outward bound AND 71minutes of access+egress times for the return trip</t>
  </si>
  <si>
    <t>False Phase 1:           Table 2.2 based Round-trip, Origin-Destination-Origin HSR Fares plus $23 of access+egress costs per round trip (2017 $$s)</t>
  </si>
  <si>
    <t>False Phase 1:Per person fares for intra-regional round-trip by Caltrain, Metrolink or Amtrak (2017 $$s)</t>
  </si>
  <si>
    <t>False Phase 1:  Total Travel Times and Total Travel Costs for Intra-regional round-trips by HSR and Auto for miles less than the longest inside that specific region</t>
  </si>
  <si>
    <t>False Phase 1:                 Total Round-Trip Auto Travel Times  (minutes)</t>
  </si>
  <si>
    <t>False Phase 1:          Round-Trip Door-to-Door Auto Travel Times + 15% upwards adjustment for travel times with traffic congestion</t>
  </si>
  <si>
    <t>False Phase 1:           Per person fares for intra-regional round-trip by Caltrain, Metrolink or Amtrak (2017 $$s) and $23 of access+egress costs</t>
  </si>
  <si>
    <t>False Phase 1: Per person cost of intra-regional round-trip fares using HSR; bassed on Figure 3.1 fares</t>
  </si>
  <si>
    <t>False Phase 1: Per person fares for intra-regional round-trip by Caltrain, Metrolink or Amtrak (2017 $$s)</t>
  </si>
  <si>
    <t>False Phase 1:  Total Travel Times and Total Travel Costs for Intra-regional round-trips by HSR and Auto for miles less than the longest inside that specific region. Note that during the Silicon Valley-Central Valley Line (2029-2033) the mid-Valley stop is Kings/Tulare, but during False Phase 1, the stop is Visalia, but only Kings/Tulare is listed in the fares in Table 2.2, p. 2-5 [PDF 25]. Therefore KT Hanford distances are used throughout.</t>
  </si>
  <si>
    <t xml:space="preserve">False Phase 1:          Round-Trip Door-to-Door Auto Travel Times + 15% upwards adjustment for travel times with traffic congestion
</t>
  </si>
  <si>
    <t>False Phase 1:             Per person cost of intra-regional round-trip by Auto; i.e. driver with one passenger = (.5 * 110% of 26¢/mile *miles)</t>
  </si>
  <si>
    <t>False Phase 1:          HSR One-Way Run Times (minutes)   N.b. inside SACOG and SANDAG there is No HSR service during IOS North or False Phase 1.</t>
  </si>
  <si>
    <r>
      <t xml:space="preserve">THESE CALCULATIONS ARE BASED ON DATA FROM THE AUTHORITY'S </t>
    </r>
    <r>
      <rPr>
        <b/>
        <sz val="14"/>
        <color rgb="FFFF0000"/>
        <rFont val="Calibri (Body)_x0000_"/>
      </rPr>
      <t>FINAL</t>
    </r>
    <r>
      <rPr>
        <b/>
        <sz val="14"/>
        <color rgb="FFFF0000"/>
        <rFont val="Calibri"/>
        <family val="2"/>
        <scheme val="minor"/>
      </rPr>
      <t xml:space="preserve"> 2018 BUSINESS PLAN AND APPENDICES</t>
    </r>
  </si>
  <si>
    <t xml:space="preserve"> Travel to/from Los Angeles area (SCAG) during False Phase 1 - because LA metro area is the largest in CA.  Name of Origin and Destination and one-way HSR miles (differ from driving miles) between the stations. Note that HSR miles are often longer than driving miles</t>
  </si>
  <si>
    <t>False Phase 1:                     One-way Distances in driving miles from the LA Basin (SCAG) Origin to designated Destination in the San Joaquin Valley (SJV)</t>
  </si>
  <si>
    <t>False Phase 1:                     Round-Trip driving mile distances from and returning to the LA Basin (SCAG)</t>
  </si>
  <si>
    <t>False Phase 1:          Round-Trip Door-to-Door Auto Travel Times</t>
  </si>
  <si>
    <t>False Ph. 1:                   Cost of Driving Round-Trip @ 23¢/mile, the Authority's metric for fully-loaded auto costs</t>
  </si>
  <si>
    <t>False Phase 1:                Per person cost of inter-regional round-trip by Auto; i.e. driver with one passenger = (.5 * 110% of 23¢/mile)</t>
  </si>
  <si>
    <t>False Phase 1:          Pre-HSR transportation Wait Times: Does not include access times to HSR stations  (minutes)</t>
  </si>
  <si>
    <t xml:space="preserve">False Phase 1: Tansfer times at LAUS piror to starting HSR-inclusive travel (minutes) </t>
  </si>
  <si>
    <t>False Phase 1:         HSR Run Times between Origins and Destinations (minutes)</t>
  </si>
  <si>
    <t>False Phase 1: Transfer Times after HSR Ride (minutes)</t>
  </si>
  <si>
    <t>False Phase 1: Metrolink Run Times after HSR ride (minutes)</t>
  </si>
  <si>
    <t>False Phase 1: Wait Time at end of HSR travel for another rail ride (minutes)</t>
  </si>
  <si>
    <t>False Phase 1: Travel time by Authority bus or BART after HSR travel</t>
  </si>
  <si>
    <t>False Phase 1: Total One-Way Travel Times using HSR, and if needed other public transit modes (minutes)</t>
  </si>
  <si>
    <t>False Phase 1:      Round-Trip HSR Run Times plus other public transport modes.</t>
  </si>
  <si>
    <t>False Phase 1                             Round Trip HSR Total Travel Times (aka Door-to-Door or Home to Home times) = HSR Run Times + (other public transit) + 142minutes (2*71minutes) of round-trip access+egress times</t>
  </si>
  <si>
    <t>False Phase 1: HSR one-way fares to the specific HSR or Amtrak station (if not yet decided)</t>
  </si>
  <si>
    <t>False Phase 1: Metrolink fare after HSR ride</t>
  </si>
  <si>
    <t>False Phsse 1: Onward HSR travel-related transportation fares</t>
  </si>
  <si>
    <t>False Phase 1:          One-way, Table 2.2-based HSR fares, plus other speciific, non-HSR costs related to that route</t>
  </si>
  <si>
    <t xml:space="preserve">False Phase 1          Total HSR Round-Trip HSR and Bus or Rail fares based on Table 2.2 p. 2-5 {PDF 25] of the 2018 Plan's Ridersihip and Revenue Forecast </t>
  </si>
  <si>
    <t>False Phase 1               Round-Trip, Total Travel Costs = HSR fares based on Table 2.2 + $23 for access+egress costs.</t>
  </si>
  <si>
    <t>False Phase 1     $$s paid round-trip per HSR passenger more than Auto driver. HSR fares based on Table 2.2. Complete Auto costs based on 23¢/mile</t>
  </si>
  <si>
    <t>False Phase 1          $$s paid round-trip per HSR rider more than each of two Auto occupants. HSR fares based on Table 2.2. Auto costs based on [110% of 23¢/mile (25¢/mile)/2 occupants]</t>
  </si>
  <si>
    <t>False Ph. 1:                     One-Way HSR miles based on distances between city pairs' rail stations. Based on work of Dr. Paul Jones (2015) station-to-station mileage.</t>
  </si>
  <si>
    <t>False Phase 1:     One-way Authority formula-based HSR fares (2017 $s)</t>
  </si>
  <si>
    <t>False Phase 1:                            One way, Authority formula-based HSR fares, plus other speciific, non-HSR public transit costs related to that route</t>
  </si>
  <si>
    <t>False Ph. 1:                 Round-Trip Formula Based HSR Fares and $23 for access+egress costs</t>
  </si>
  <si>
    <t>False Phase 1: Extra, formula-based $$s paid round-trip per HSR passenger vs. Auto driver traveling with 1 passenger</t>
  </si>
  <si>
    <t>False Phase 1:  Total Travel Costs by Air vs. HSR's Total Travel Costs (negative number means HSR is cheaper than Air by $__)</t>
  </si>
  <si>
    <t>False Phase 1:  Per person cost of inter-regional round-trip using HSR; based on Table 2.2 fares</t>
  </si>
  <si>
    <t>False Phase 1: Wait Times (Transfer Times) after HSR Ride (minutes)</t>
  </si>
  <si>
    <t xml:space="preserve">False Phase 1:     HSR Run Time (Madera-Merced) </t>
  </si>
  <si>
    <t>False Phase 1: Travel time by Authority bus or BART or Metrolink after HSR travel</t>
  </si>
  <si>
    <t>False Phase 1: HSR or Metrolink fares before HSR travel (does not include access cost)</t>
  </si>
  <si>
    <t>False Phase 1: HSR one-way fares OC Gateway (Norwalk), Anaheim, Palmdale and BUR to the specific city's Amtrak station</t>
  </si>
  <si>
    <t>False Phase 1:  Other HSR-related fare after HSR ride</t>
  </si>
  <si>
    <t>False Phase 1:          Round-Trip Door-to-Door Auto Travel Times (minutes)</t>
  </si>
  <si>
    <t>False Phase 1:          Round-Trip Door-to-Door Auto Travel Times + 15% upwards adjustment for travel times with traffic congestion (minutes)</t>
  </si>
  <si>
    <t>False Phase 1:         HSR Run Times between Other Origins and Destinations (minutes)</t>
  </si>
  <si>
    <t>False Phase 1: Fares from Origin HSR station to specific city's Amtrak station</t>
  </si>
  <si>
    <t>False Phase 1:                     One-way Distances in driving miles from a San Francisco Bay Area Origin to a designated Destination in the San Joaquin Valley</t>
  </si>
  <si>
    <t>False Phase 1:                     Round-Trip driving mile distances from and return to Gilroy, San Jose, Millbrae or San Francisco</t>
  </si>
  <si>
    <t>False Phase 1:            Round-Trip Door-to-Door Auto Travel Times</t>
  </si>
  <si>
    <t>False Phase 1:    HSR Run Times from Gilroy, San Jose,  SFTBT or Millbrae (minutes)</t>
  </si>
  <si>
    <t>False Phase 1: Transfer Time (Wait Time) for Authority bus from Merced to Sacramento</t>
  </si>
  <si>
    <t>False Phase 1: Run time for the Dedicated Authority Bus ride Merced-Sacramento</t>
  </si>
  <si>
    <t>False Phase 1:            Fares prior to taking HSR in Gilroy, San Jose, Millbrae or SF: does not include costs counted here</t>
  </si>
  <si>
    <t xml:space="preserve">False Phase 1:           one-way fares from Gilroy, San Jose,  SFTBT or Millbrae Origins to Destinations in the San Joaquin Valley </t>
  </si>
  <si>
    <t>False Phase 1:             Authority HSR train fares to Merced</t>
  </si>
  <si>
    <t>False Phase 1:            Further HSR-inclusive transport</t>
  </si>
  <si>
    <t>False Phase 1:        Extra, formula-based $$s paid round-trip per HSR passenger vs. Auto driver traveling with 1 passenger</t>
  </si>
  <si>
    <t>False Phase 1:        Minutes saved traveling round-trip Door-to-Door using Air travel - includes 90 (2*45) minutes for airport security not added for HSR travel</t>
  </si>
  <si>
    <t>False Phase 1:                     Round-Trip driving mile distances from and return to Millbrae, Gilroy, San Jose, or San Francisco</t>
  </si>
  <si>
    <t>False Phase 1:          Pre-HSR transportation Wait Times: does not include access to HSR station times (minutes)</t>
  </si>
  <si>
    <t xml:space="preserve">False Phase 1: Tansport times piror to HSR-inclusive travel (minutes) </t>
  </si>
  <si>
    <t>False Phase 1:            Fares prior to taking HSR in Gilroy, San Jose, Millbrae or SF: does not include access costs</t>
  </si>
  <si>
    <t xml:space="preserve">False Phase 1:           one-way fares from Gilroy, San Jose,  SFTBT or Millbrae to Destination in the San Joaquin Valley </t>
  </si>
  <si>
    <t>False Phase 1:              Other Authority HSR train or bus  fares</t>
  </si>
  <si>
    <t xml:space="preserve">False Phase 1:      BART Run Times piror to HSR travel. Does not incluaccess to HSR station times (minutes) </t>
  </si>
  <si>
    <t>False Phase 1: Transfer Time (Wait Time) for Authority HSR train from Madera to Merced</t>
  </si>
  <si>
    <t>False Phase 1:  Run time for the Dedicated Authority Bus ride Merced-Sacramento</t>
  </si>
  <si>
    <t>False Phase 1:            Fares prior to taking HSR at SFTBT: does not include access costs</t>
  </si>
  <si>
    <t>False Phase 1:             Authority HSR train fare for Fresno to Merced</t>
  </si>
  <si>
    <t>False Phase 1:            Further HSR-inclusive transport, i.e. Merced-Sacramento dedicated bus</t>
  </si>
  <si>
    <t xml:space="preserve">Round-Trip Travel to/from the the San Joaquin Valley (SJV Region) during False Phase 1 because Fresno is CA's fifth largest city.  Name of Origin and Destination and one-way HSR miles between the stations. Note that HSR miles are often longer than driving miles  </t>
  </si>
  <si>
    <t>False Phase 1:                     One-way Distances in driving miles from specific Origins in the San Joaquin Valley to a designated Destination in SCAG, SACOG or MTC</t>
  </si>
  <si>
    <t>False Phase 1:                     Round-Trip driving mile distances from and return to a specific San Joauin Valley Origin city</t>
  </si>
  <si>
    <t>False Phase 1:           Round-Trip Door-to-Door Auto Travel Times</t>
  </si>
  <si>
    <t>False Phase 1:            HSR Run times (minutes)</t>
  </si>
  <si>
    <t>False Phase 1:   Transfer time in Madera  after prior HSR ride (minutes)</t>
  </si>
  <si>
    <t>False Phase 1: Transfer Time (Wait Time) for Authority bus or other onward HSR transport</t>
  </si>
  <si>
    <t>False Phase 1: Dedicated Authority Bus to points north of Merced</t>
  </si>
  <si>
    <t xml:space="preserve">False Phase 1:            Fares prior to taking HSR in Madera, Fresno, Gilroy or Hanford. </t>
  </si>
  <si>
    <t>False Phase 1:            HSR fares one-way Origin to Destination or Merced</t>
  </si>
  <si>
    <t>False Phase 1:             Other Authority HSR train fares</t>
  </si>
  <si>
    <t>False Phase 1:            For San Jose-Merced, add $9.87 + $1.23 for a one-way Authority Bus fare from Fresno to Merced</t>
  </si>
  <si>
    <t>False Phase 1:       Extra, formula-based $$s paid round-trip per HSR passenger vs. Auto driver traveling with 1 passenger</t>
  </si>
  <si>
    <t>False Phase 1:                     One-way Distances in driving miles from specific Origins in the San Joaquin Valley to a designated Destination in SCAG or MTC</t>
  </si>
  <si>
    <t>False Phase 1:            Other HSR Run times (minutes)</t>
  </si>
  <si>
    <t>False Phase 1:            Fares prior to taking HSR in Fresno.</t>
  </si>
  <si>
    <t xml:space="preserve">False Phase 1:            HSR one-way fares Origins to Destinations </t>
  </si>
  <si>
    <t>False Phase 1:             Authority HSR train fare ($45) for Fresno to Merced</t>
  </si>
  <si>
    <t>False Phase 1:            Further HSR or other transport fares</t>
  </si>
  <si>
    <t>False Phase 1: Travel time after HSR and Metrolink</t>
  </si>
  <si>
    <t xml:space="preserve">False Phase 1: Further Travel time after HSR </t>
  </si>
  <si>
    <t>False Phase 1: Fares before HSR travel (does not include access cost)</t>
  </si>
  <si>
    <t xml:space="preserve">False Phase 1: HSR one-way fares to the specific Amtrak station from Bakersfield,  Fresno or Madera-originated fares. </t>
  </si>
  <si>
    <t>False Phase 1: Metrolink fare LAUS-OC Gateway (Norwalk) after HSR ride</t>
  </si>
  <si>
    <t xml:space="preserve">Round-Trip Travel to/from Sacramento's Amtrak Station during False Phase 1 because Sacramento is the 6th most populated city and the 5th most densely populated city in CA. Name of Origin and Destination and one-way HSR miles between the stations. Note that HSR miles are often longer than driving miles     </t>
  </si>
  <si>
    <t>False Phase 1:                     One-way Distances in driving miles from Sacramento to a designated Destination in the San Joaquin Valley or the SF Bay Area (MTC)</t>
  </si>
  <si>
    <t>False Phase 1:                     Round-Trip driving mile distances from Sacramento and return to Sacramento</t>
  </si>
  <si>
    <t>False Phase 1:     Other HSR Run Times</t>
  </si>
  <si>
    <t>False Phase 1: Other HSR travel time (does not include egress times)</t>
  </si>
  <si>
    <t>False Phase 1:  One way Formula-Based HSR Fare</t>
  </si>
  <si>
    <t>False Phase 1:         Extra, formula-based $$s paid round-trip per HSR passenger vs. Auto driver traveling with 1 passenger</t>
  </si>
  <si>
    <t>False Phase 1:                     One-way Distances in driving miles from San Diego to a designated Destination</t>
  </si>
  <si>
    <t>False Phase 1:                     Round-Trip driving mile distances from San Diego and return to San Diego</t>
  </si>
  <si>
    <t>False Phase 1:                   Round-Trip Door-to-Door Auto Travel Times</t>
  </si>
  <si>
    <t>False Phase 1:   No other data inputs</t>
  </si>
  <si>
    <t>False Phase 1:   Amtrak Pacific Surliner Ticket San Diego (SAN) to Los Angeles Union Station or to Anaheim</t>
  </si>
  <si>
    <t xml:space="preserve">False Ph. 1:             Round-Trip Formula-based HSR fares based on guidelines on  p. 2-5 {PDF 25] of 2018  Plan's R&amp;R Forecast plus other speciific, non-HSR costs related to that route </t>
  </si>
  <si>
    <t>For 23¢/mile, see Table 3.3, p.3-4  [PDF 32] of CA High-Speed Rail  2018 Business Plan, Ridership and Revenue Forecasting: Technical Supporting Document.</t>
  </si>
  <si>
    <t xml:space="preserve">See: Appendix A.2, Table A.2.2 p. A-2 [PDF 62] of the  2018 Ridership and Revenue Forecasting, Technical Supporting Document </t>
  </si>
  <si>
    <t xml:space="preserve">Although PDF 26 of the 2018  Plan's  Ridership and Revenue Forecasting document says HSR trains will coordinate with Metrolink, that regional rail carrier has no plans to electrify its LAUS-Anaheim corridor. 
</t>
  </si>
  <si>
    <t xml:space="preserve">Fares are from Table 2.2, p. 2-5 [PDF 25] of the  2018  Plan's Ridership and Revenue Forecasting, Techical Supporting Document. 
</t>
  </si>
  <si>
    <t>Per occupant Auto costs based on 110% of 23¢/mile (29¢/mile). For the Authority-set 23¢/mile, see Table 3.3, p.3-4  [PDF 32] of the CA High-Speed Rail  2018 Business Plan, Ridership and Revenue Forecasting: Technical Supporting Document.</t>
  </si>
  <si>
    <t>HSR fares are based on formulas found on p. 2-5 {PDF 25] of 2018  Business Plan Ridership and Revenue Forecasts, Technical Supporting Document</t>
  </si>
  <si>
    <t xml:space="preserve">Fares are from Table 2.2, p. 2-5 [PDF 25] of the  2018  Plan's Ridership and Revenue Forecasting, Techical Supporting Document. While the traveler must change stations in Madera for northbound destinations, the Authors use the Table 2.2 fare designations from SFTBT
</t>
  </si>
  <si>
    <t>Run Times from Appendix  A2, A2.2 p. A-2 [PDF 62] of 2018  Ridership and Revenue Forecasting, Techical Supporting Document.</t>
  </si>
  <si>
    <t>Run Times from Appendix  A2, A2.2 p. A-2 [PDF 62] of 2018  Ridership and Revenue Forecasting, Techical Supporting Document.  Merced-Millbrae is Merced-Madera (15minutes), a 15minute wait, then Madera-Millbrae</t>
  </si>
  <si>
    <t xml:space="preserve">Fares are from Table 2.2, p. 2-5 [PDF 25] of the  2018  Plan's Ridership and Revenue Forecasting, Techical Supporting Document.  </t>
  </si>
  <si>
    <t>Palmdale-Merced/269miles</t>
  </si>
  <si>
    <t>Anaheim-Merced/353miles</t>
  </si>
  <si>
    <t>False Phase 1: Cost of Driving Alone Round-Trip @ 23¢/mile, the Authority's metric for fully-loaded auto costs</t>
  </si>
  <si>
    <t>False Phase 1:                     One-way Distances in driving miles from the city in the LA Basin's (SCAG) Origin to designated SF Bay Area (MTC) Destination</t>
  </si>
  <si>
    <t>False Phase 1:                     Round-Trip driving mile distances from and returning to the LA Basin (SCAG) or San Diego (SANDAG)</t>
  </si>
  <si>
    <t xml:space="preserve">False Phase 1:   Wait Time for HSR (minutes) or Amtrak Pacific Surfliner Run Time San Diego-Los Angeles Union Station  piror to HSR travel (minutes) </t>
  </si>
  <si>
    <t>False Phase 1: HSR Run Times between Origins and Destinations and between LAUS and Madera (minutes)</t>
  </si>
  <si>
    <t>False Phase 1:   Other Run Times after HSR ride (minutes)</t>
  </si>
  <si>
    <t>False Phase 1:                             Round Trip HSR Total Travel Times (aka Door-to-Door or Home to Home times) = HSR Run Times + (other public transit) + 142minutes (2*71minutes) of round-trip access+egress times</t>
  </si>
  <si>
    <t>False Phase 1: One way Amtrak fare before starting HSR travel at LAUS (does not include access cost)</t>
  </si>
  <si>
    <t>False Phase 1: HSR fares LAUS-San Jose, Gilroy or San Francisco Transbay Terminal</t>
  </si>
  <si>
    <t>False Phase 1: BART fare after HSR ride to SFTBT</t>
  </si>
  <si>
    <t>False Phase 1:  One-way, Table 2.2-based HSR fares, plus other speciific, non-HSR costs related to that route</t>
  </si>
  <si>
    <t>False Ph. 1:                     One-Way HSR miles based on distances between city pairs' rail stations. Based on work of Dr. Paul Jones (2015) station-to-station mileage. San Diego-Madera miles are only LAUS-Madera.</t>
  </si>
  <si>
    <t>False Phase 1:     One-way Authority formula-based HSR fare</t>
  </si>
  <si>
    <t xml:space="preserve">False Phase 1: Tansport times to get to LAUS piror to starting HSR-inclusive travel (minutes) </t>
  </si>
  <si>
    <t>False Phase 1:     Wait Time for HSR (minutes) at LAUS for Long Beach passengers. Does not include access or egress times to/from an HSR station</t>
  </si>
  <si>
    <t>False Phase 1: Metrolink fare before starting HSR travel at LAUS (does not include access cost)</t>
  </si>
  <si>
    <t xml:space="preserve">False Phase 1: HSR fares LAUS-Gilroy, San Jose, Gilroy or San Francisco </t>
  </si>
  <si>
    <t>False Phase 1:     One-way Authority formula-based HSR fare SFTBT to Palmdale, Burbank Airport and LAUS</t>
  </si>
  <si>
    <t>False Phase 1:                     One-way Distances in driving miles from the SF Bay Area (MTC) Origin to designated Destination</t>
  </si>
  <si>
    <t>False Phase 1:                     Round-Trip driving mile distances from and returning to the SF Bay Area (MTC) Origin</t>
  </si>
  <si>
    <t>False Phase 1: Wait Time for transport prior to taking HSR (minutes).  Does not include access or egress times</t>
  </si>
  <si>
    <t>False Phase 1: Run Times after HSR ride (minutes)</t>
  </si>
  <si>
    <t>False Phase 1: Wait Time at end of HSR travel for another public transit ride (minutes)</t>
  </si>
  <si>
    <t>False Phase 1: Travel time by other public transit</t>
  </si>
  <si>
    <t>False Phase 1: Total One-Way HSR Travel Times (minutes)</t>
  </si>
  <si>
    <t xml:space="preserve">False Phase 1: Fares for MTC Origin to Palmdale, Burbank Airport (BUR), OC Gateway, Anaheim and LAUS </t>
  </si>
  <si>
    <t>False Phase 1:      Round-Trip HSR Run Times plus other Authority-offered transport modes.</t>
  </si>
  <si>
    <t>False Phase 1:                             Round Trip HSR Total Travel Times (aka Door-to-Door or Home to Home times) = HSR Run Times + 142minutes (2*71minutes) of round-trip access+egress times</t>
  </si>
  <si>
    <t xml:space="preserve">False Phase 1: Fares for SFTBT to Palmdale, Burbank Airport (BUR) and LAUS </t>
  </si>
  <si>
    <t xml:space="preserve">False Phase 1: Tansport times to get to the San Francisco departure station piror to starting HSR-inclusive travel (minutes) </t>
  </si>
  <si>
    <t>False Phase 1: Wait Times (Transfer Times) for Metro Blue and Amtrak after HSR Ride (minutes)</t>
  </si>
  <si>
    <t>False Phase 1: Metrolink and Amtrak Pacific Surfliner Run Times after HSR ride (minutes)</t>
  </si>
  <si>
    <t>False Phase 1: Oakland-SFTBT BART fare before HSR travel (does not include access cost)</t>
  </si>
  <si>
    <t>False Phase 1: HSR fares to LAUS and OC Gateway. Onward Long Beach and San Diego fares counted elsewhere</t>
  </si>
  <si>
    <t>False Phase 1: Metrolink and Amtrak Pacifc Surfliner fares to Long Beach and San Diego after HSR ride</t>
  </si>
  <si>
    <t>False Phase 1:                     One-way Distances in driving miles from the Oakland (MTC) Origin to designated Destination</t>
  </si>
  <si>
    <t>False Phase 1:                     Round-Trip driving mile distances from and returning to an Oakland (MTC) Origin</t>
  </si>
  <si>
    <t xml:space="preserve">False Phase 1:  BART Run Times piror to HSR travel. Does not include access to HSR station times (minutes) </t>
  </si>
  <si>
    <t>False Phase 1:   Transfer to HSR = Access to SF HSR station from BART (@ Embarcadero) is a 10minute walk and pre-HSR transportation Wait Time of 15minutes</t>
  </si>
  <si>
    <t xml:space="preserve">False Phase 1: Other Transfer Times (Wait Times) </t>
  </si>
  <si>
    <t xml:space="preserve">False Phase 1: Other RunTtimes </t>
  </si>
  <si>
    <t>False Phase 1:           one-way fares from SFTBT to LA Basin destinations</t>
  </si>
  <si>
    <t>False Phase 1:                     One-way Distances in driving miles from San Diego region (SANDAG) Origin to designated Destination</t>
  </si>
  <si>
    <t>False Phase 1:                     Round-Trip driving mile distances from and returning to the SANDAG region</t>
  </si>
  <si>
    <t xml:space="preserve">False Phase 1: Tansport timed via Amtrak Pacific Surfliner  to get to LAUS piror to starting HSR-inclusive travel (minutes) </t>
  </si>
  <si>
    <t xml:space="preserve">False Phase 1: Tansfer Time from Amtrak Pacific Surfliner  to get to HSR at LAUS to HSR-inclusive travel (minutes) </t>
  </si>
  <si>
    <t>False Phase 1: Wait Times (Transfer Times)  after HSR Ride (minutes)</t>
  </si>
  <si>
    <t>False Phase 1: Travel time after HSR travel</t>
  </si>
  <si>
    <t>False Phase 1: HSR and Amtrak San Joaquin line's fare San Diego-LAUS before HSR travel (does not include access cost)</t>
  </si>
  <si>
    <t>False Phase 1: HSR fares LAUS to the specific destination's Amtrak station if HSR station not defined</t>
  </si>
  <si>
    <t>False Phase 1: Other public carrier fare after HSR ride</t>
  </si>
  <si>
    <t xml:space="preserve">False Ph. 1:                     One-Way HSR miles based on distances from LAUS to respective rail stations. </t>
  </si>
  <si>
    <t>Millbrae-Fresno/                                            192miles</t>
  </si>
  <si>
    <t>Millbrae-Fresno/192miles</t>
  </si>
  <si>
    <r>
      <t>San Jose-Merced</t>
    </r>
    <r>
      <rPr>
        <b/>
        <sz val="9"/>
        <rFont val="Calibri"/>
        <family val="2"/>
      </rPr>
      <t>/210miles</t>
    </r>
  </si>
  <si>
    <t xml:space="preserve">False Phase 1:     HSR Run Time </t>
  </si>
  <si>
    <t xml:space="preserve">False Phase 1: Run time for the Dedicated Authority Bus ride </t>
  </si>
  <si>
    <t xml:space="preserve">False Phase 1: Run time for the Dedicated Authority Bus </t>
  </si>
  <si>
    <t>False Phase 1: One-Way Travel Times using HSR, and if needed other public transit modes (minutes)</t>
  </si>
  <si>
    <t>Millbrae-KT Hanford/217miles</t>
  </si>
  <si>
    <t>Millbrae-KT Hanford/                 217miles</t>
  </si>
  <si>
    <t>San Jose-Merced/                          210miles</t>
  </si>
  <si>
    <t xml:space="preserve">False Phase 1:     HSR Run Time Madera-Merced </t>
  </si>
  <si>
    <t>See Appendix 2, Table A.2.1, p. A-2 [PDF 62] of 2018 Business Plan, Ridership and Revenue Forecasting, Technical Supporting Document for the Authority Dedicate Bus schedule</t>
  </si>
  <si>
    <t xml:space="preserve">False Phase 1:           one-way fares from SFTBT to Madera, Fresno, KT Hanford or Bakersfield in the San Joaquin Valley </t>
  </si>
  <si>
    <t xml:space="preserve">Fares are from Table 2.2, p. 2-5 [PDF 25] of the  2018  Plan's Ridership and Revenue Forecasting, Techical Supporting Document. While the traveler must change stations in Madera for northbound destinations, the Authors use the Table 2.2 SFTBT-Merced fare designations from SFTBT
</t>
  </si>
  <si>
    <t>Run Times from Appendix  A2, A2.2 p. A-2 [PDF 62] of 2018  Ridership and Revenue Forecasting, Techical Supporting Document. Merced-Gilroy is actually Madera-Gilroy as there appears to be no non-stop train on that route</t>
  </si>
  <si>
    <t>No prior-to-HSR-travel by BART, Metrolink, Amtrak or an Authority Dedicated Bus in these calculations. However, the Merced-Madera route takes 15minutes.</t>
  </si>
  <si>
    <t>False Phase 1:     Run Times Madera-Merced HSR Run Time and Merced-Sacramento Authority Bus Run Time</t>
  </si>
  <si>
    <t>Run Times from Appendix  A2, A2.2 p. A-2 [PDF 62] of 2018  Ridership and Revenue Forecasting, Techical Supporting Document. The Merced-Madera 15minutes of Run Time is because there does not seem to be a non-stop Merced-SFTBT service.</t>
  </si>
  <si>
    <t>KT Hanford-Burbank (BUR)/                              228miles</t>
  </si>
  <si>
    <t>Merced-OC Gateway/340miles</t>
  </si>
  <si>
    <t>There is no direct Gilroy-Merced connection planned. Travelers go to Madera, then transfer to HSR westward to Gilroy.</t>
  </si>
  <si>
    <t>Minutes gained traveling round-trip using Air + (2*45minutes for security) versus HSR</t>
  </si>
  <si>
    <t>False Phase 1:          Authority Dedicated Bus Run times Sacramento-Merced</t>
  </si>
  <si>
    <t xml:space="preserve">False Phase 1:   Transfer Time from Dedicated Bus  in Merced to HSR  travel onwards (minutes) </t>
  </si>
  <si>
    <t>False Phase 1:    HSR  Run Times-Merced to Final Destination</t>
  </si>
  <si>
    <t>False Phase 1:    HSR  Run Times-Merced to Madera for westbound, MTC Destinations</t>
  </si>
  <si>
    <t>False Phase 1:            Authority Dedicated Bus fares Sacramento to Merced prior to taking HSR</t>
  </si>
  <si>
    <t>False Phase 1:             Authority HSR train fare for Merced-Madera to take HSR train to to San Jose and Millbrae.</t>
  </si>
  <si>
    <t>There is no direct MTC-Merced connection planned. Travelers go to Merced then Madera by HSR, then  transfer again to HSR westward to the SF Bay Area. Seep. 2-5 [PDF 26] of the 2018 Business Plan, Ridership and Revenue Forecasting, Technical Supporting Document</t>
  </si>
  <si>
    <t>Sacramento-KT Hanford/216miles</t>
  </si>
  <si>
    <t>Sacramento-Bakersfield/280miles</t>
  </si>
  <si>
    <r>
      <t>San Diego-OC Gateway/</t>
    </r>
    <r>
      <rPr>
        <b/>
        <sz val="9"/>
        <rFont val="Calibri"/>
        <family val="2"/>
      </rPr>
      <t>106miles</t>
    </r>
  </si>
  <si>
    <r>
      <t>San Diego-Anaheim/</t>
    </r>
    <r>
      <rPr>
        <b/>
        <sz val="9"/>
        <rFont val="Calibri"/>
        <family val="2"/>
      </rPr>
      <t>93miles</t>
    </r>
  </si>
  <si>
    <t xml:space="preserve">False Phase 1: Amtrak Pacific Surfliner Run Times San Diego-Los Angeles Union Station or Anaheim (for Anaheim or OC Gateway) piror to HSR travel (minutes) </t>
  </si>
  <si>
    <t xml:space="preserve">Metrolink Run Time Anaheim-Norwalk-Santa Fe Springs is 23minutes and the one-way fare is $6.00. One-way by Metrolink LAUS-Palmdale takes 126minutes and cost $10.75 </t>
  </si>
  <si>
    <t>False Phase 1: HSR and Metrolink one-way fares LAUS-BUR and LAUS-Palmdale</t>
  </si>
  <si>
    <t>False Phase 1:         No other data inputs</t>
  </si>
  <si>
    <t>False Phase 1:   Further rail or bus fares after HSR ride</t>
  </si>
  <si>
    <t>False Phase 1:            One-Way Trip HSR and Metrolink Costs</t>
  </si>
  <si>
    <t xml:space="preserve">False Phase 1:    </t>
  </si>
  <si>
    <r>
      <t xml:space="preserve">San Diego-Anaheim/                                      </t>
    </r>
    <r>
      <rPr>
        <b/>
        <sz val="9"/>
        <rFont val="Calibri"/>
        <family val="2"/>
      </rPr>
      <t>93miles</t>
    </r>
  </si>
  <si>
    <r>
      <t xml:space="preserve">San Diego-OC Gateway/                                  </t>
    </r>
    <r>
      <rPr>
        <b/>
        <sz val="9"/>
        <rFont val="Calibri"/>
        <family val="2"/>
      </rPr>
      <t>106miles</t>
    </r>
  </si>
  <si>
    <t>Oakland-OC Gateway/                    490miles</t>
  </si>
  <si>
    <t>Oakland-Burbank (BUR)/                        470miles</t>
  </si>
  <si>
    <t>False Phase 1:                     One-way Distances in driving miles from Monterey to destinations in the major regions where ridership is claimed</t>
  </si>
  <si>
    <t>False Phase 1:                     Round-Trip driving mile distances from and returning to Monterey</t>
  </si>
  <si>
    <t>False Phase 1  Round-Trip HSR Run Times plus other Authority-offered transport modes.</t>
  </si>
  <si>
    <t>False Phase 1                             Round Trip HSR Total Travel Times (aka Door-to-Door or Home to Home times) = HSR Run Times + 142minutes (2*71minutes) of round-trip access+egress times</t>
  </si>
  <si>
    <t>False Phase 1: Metrolink or other transit fare after HSR ride</t>
  </si>
  <si>
    <t xml:space="preserve">False Ph. 1:                     One-Way HSR miles based on distances between city pairs' rail stations. Based on work of Dr. Paul Jones (2015) station-to-station mileage.  </t>
  </si>
  <si>
    <t>False Phase 1:                            One way, Authority formula-based HSR fares, plus other speciific, non-HSR costs related to that route</t>
  </si>
  <si>
    <t>False Phase 1:                     One-way Distances in driving miles from the Santa Barbara Origin to designated Destination in the major regions where Ridership and Revenue are claimed</t>
  </si>
  <si>
    <t>False Phase 1:                     Round-Trip driving mile distances from and returning to Santa Barbara</t>
  </si>
  <si>
    <t xml:space="preserve">False Phase 1: Greyhound bus tansport times Santa Barbara to LAUS, the nearest HSR station, piror to starting HSR-inclusive travel (minutes) </t>
  </si>
  <si>
    <t xml:space="preserve">False Phase 1: Transfer Time from Greyhound bus at LAUS, the nearest HSR station, piror to starting HSR-inclusive travel (minutes) </t>
  </si>
  <si>
    <t>False Phase 1:         HSR Run Times between Los Angeles Union Station and nearest HSR station to the defined Destinations  (minutes)</t>
  </si>
  <si>
    <t>False Phase 1: Other conveyance's Run Times not yet counted after HSR ride (minutes)</t>
  </si>
  <si>
    <t>False Phase 1: Travel time by another other public conveyance after HSR travel</t>
  </si>
  <si>
    <t>False Ph. 1:                     One-Way HSR miles based on distances between LAUS and defined city Destination, generally their Amtrak stations. Based on work of Dr. Paul Jones (2015) station-to-station mileage.</t>
  </si>
  <si>
    <t xml:space="preserve">False Phase 1:                            One way, Authority formula-based HSR fares, plus other speciific, non-HSR costs related to traveling from Santa Barbara </t>
  </si>
  <si>
    <t>False Phase 1:                     Round-Trip driving mile distances from and returning to Redding</t>
  </si>
  <si>
    <t>False Phase 1: Authority bus one-way fares Sacramento-Merced.</t>
  </si>
  <si>
    <t>False Phase 1: Fare after HSR ride</t>
  </si>
  <si>
    <t>False Ph. 1:                     One-Way HSR miles based on distances between Merced and defined city Destination, generally their Amtrak stations. Based on work of Dr. Paul Jones (2015) station-to-station mileage.</t>
  </si>
  <si>
    <t>False Phase 1:                            One way, Authority formula-based HSR fares, plus other speciific, non-HSR costs related to traveling from Redding</t>
  </si>
  <si>
    <t>False Phase 1:                     One-way Distances in driving miles from the South Lake Tahoe Origin to designated Destination in the major regions where Ridership and Revenue are claimed</t>
  </si>
  <si>
    <t>False Phase 1:                     Round-Trip driving mile distances from and returning to South Lake Tahoe</t>
  </si>
  <si>
    <t>False Phase 1: One-way Authority Bus Fare Sacramento-Merced</t>
  </si>
  <si>
    <t>False Ph. 1:                     One-Way HSR miles based on distances between Sacramento and defined city Destination, generally their Amtrak stations. Based on work of Dr. Paul Jones (2015) station-to-station mileage.</t>
  </si>
  <si>
    <t>False Phase 1:                            One way, Authority formula-based HSR fares, plus other speciific, non-HSR costs related to traveling from South Lake Tahoe</t>
  </si>
  <si>
    <t>False Phase 1: Further Transport Times</t>
  </si>
  <si>
    <t>False Phase 1: Bus Fares Yosemite Valley to Fresno before HSR travel (does not include access cost)</t>
  </si>
  <si>
    <t>False Ph. 1:                     One-Way HSR miles based on distances between the closest HSR station and Fresno.Based on work of Dr. Paul Jones (2015) station-to-station mileage.</t>
  </si>
  <si>
    <t>False Phase 1:                     One-way Distances in driving miles from the Origins to designated Destinations</t>
  </si>
  <si>
    <t>False Phase 1:                     Round-Trip driving mile distances from and returning to the Origins</t>
  </si>
  <si>
    <t xml:space="preserve">False Phase 1: Greyhound tansport times to get to the nearest HSR station (San Jose or LAUS) piror to starting HSR-inclusive travel (minutes) </t>
  </si>
  <si>
    <t xml:space="preserve">False Phase 1: Transfer Times in  San Jose, the nearest HSR station to Monterey piror to starting HSR-inclusive travel (minutes) </t>
  </si>
  <si>
    <t>As with transfer times between Authority bus and HSR services, a 15minute Transfer Time is assumed. For example, see Table A 2.1, p. A-2 PDF 62] of the 2018 Business Plan's Ridership and Revenue Forecasting, Technical Supporting Document. The minimun transfer time to Amtrak at LAUS is 30minute as Amtrak service is hourly.</t>
  </si>
  <si>
    <t>As with transfer times between Authority bus and HSR services, a 15minute Transfer Time is assumed. For example, see Table A 2.1, p. A-2 PDF 62] of the 2018 Business Plan's Ridership and Revenue Forecasting, Technical Supporting Document.</t>
  </si>
  <si>
    <t>False Phase 1:        Transfer Times for boarding Sacramento-bound Authority Bus or Amtrak (30minutes) after HSR Ride (minutes) - if applicable</t>
  </si>
  <si>
    <t>False Phase 1:         HSR Run Times between San Jose Diridon HSR station and Destination or Madera (minutes)</t>
  </si>
  <si>
    <t>False Phase 1:               Authority Bus Ride Merced-Sacramento and Amtrak Run Times LAUS-San Diego after HSR ride (minutes) - if applicable</t>
  </si>
  <si>
    <t>False Phase 1:        Travel time by Authority bus or other public conveyance after HSR travel</t>
  </si>
  <si>
    <t>False Phase 1:        One-Way HSR Travel Times (minutes)</t>
  </si>
  <si>
    <t>False Phase 1: HSR one-way fares from San Jose (nearest HSR station to Monterey) to Madera or the specific HSR destination</t>
  </si>
  <si>
    <t>False Phase 1:         One-Way Trip HSR and Bus and Rail fares</t>
  </si>
  <si>
    <t>False Phase 1:          One-way Authority formula-based HSR fare</t>
  </si>
  <si>
    <t>False Phase 1:                          Greyhound transport Run Times: does not include access to Greyhound station times (minutes)</t>
  </si>
  <si>
    <t>Santa Barbara-Merced-Sacramento/538</t>
  </si>
  <si>
    <t>False Phase 1:          Transfer Time after HSR Ride to board another conveyance towards Destination (minutes)</t>
  </si>
  <si>
    <t xml:space="preserve">False Phase 1:  HSR one-way fares LAUS towards  San Jose (destination Monterey) or Merced (destination: Sacramento) </t>
  </si>
  <si>
    <t>False Phase 1:         Amtrak LAUS - San Diego fare after HSR ride</t>
  </si>
  <si>
    <t>As with transfer times between Authority bus and HSR services, a 15minute Transfer Time is assumed. For example, see Table A 2.1, p. A-2 PDF 62] of 2018 Business Plan's Ridership and Revenue Forecasting, Technical Supporting Document</t>
  </si>
  <si>
    <t>Transfer time in Merced for the Sacramento bus in 15minutes as per A.2.1, p. A-2 [PDF 62] of the 2018Ridership and Revenue Forecasting, Technical Supporting Document. Transfer Time in LAUS to Amtrak for San Diego is 30minutes as Amtrak's Pacific Surfliner only runs hourly.</t>
  </si>
  <si>
    <t>False Phase 1:   Transfer Time in Sacramento to board Authority Bus Ride to Merced (minutes)</t>
  </si>
  <si>
    <t xml:space="preserve">See Table A.2.2, p. A-2 [PDF 62] of 2018 Business Plan, Ridership and Revenue Forecasting, Technical Supporting Document
"
</t>
  </si>
  <si>
    <t>False Phase 1:         HSR Run Times between Sacramento Amtrak Station to Merced's Amtrak station  to board westbound or outhbound HSR trains (minutes)</t>
  </si>
  <si>
    <t>False Phase 1:   Transfer Time in Merced for San Jose-bound passengers (minutes)</t>
  </si>
  <si>
    <t>False Phase 1: Transfer Time at LAUS  (30minutes) after HSR travel for Amtrak to San Diego</t>
  </si>
  <si>
    <t>False Phase 1:          HSR Run Times Madera-San Jose or  LAUS- San Diego (minutes)</t>
  </si>
  <si>
    <t>False Phase 1:          HSR one-way fares, Madera (for SJ-bound travelers) and Merced to LAUS and Fresno</t>
  </si>
  <si>
    <t xml:space="preserve">False Phase 1: Greyhousn bus tansport times to get to Truckee-Sacramento, the nearest HSR station (minutes) </t>
  </si>
  <si>
    <t>False Phase 1:        Run Time between Sacramento and Merced aboard Authority Bus (minutes)</t>
  </si>
  <si>
    <t>False Phase 1:         HSR Run Times between Madera (for San Jose) or Merced for LAUS (LA or San Diego destinations) or Fresno  (minutes)</t>
  </si>
  <si>
    <t>False Phase 1:         HSR Run Times Madera-Merced for San Jose-bound travelers (minutes)</t>
  </si>
  <si>
    <t>False Phase 1:          HSR Run Time Madera-San Jose destination or Merced-southbound to LAUS (to LA or for San Diego) or Fresno (minutes)</t>
  </si>
  <si>
    <t>False Phase 1:            Greyhound bus fares before Monterey-San Jose before begining HSR travel (does not include access + egress cost)</t>
  </si>
  <si>
    <t xml:space="preserve">Although the Redding-San Jose fare perhaps should include the Merced-Madera fare, these fares are from Merced: see Table 2.2, p. 2-5 [PDF 25] of the DRAFT 2018  Plan's Ridership and Revenue Forecasting, Techical Supporting Document. 
</t>
  </si>
  <si>
    <t>False Phase 1:        HSR one-way fares, Madera-San Jose or Merced-Fresno or Merced-LAUS (for LA and San Diego destined travelers)</t>
  </si>
  <si>
    <t>False Phsse 1: One-way Amtrak Pacific Surfliner fare LAUS-San Diego</t>
  </si>
  <si>
    <t xml:space="preserve">False Phase 1:        Transfer Times in Fresno for onward travel by HSR train to Bakersfield, LA and San Francisco or to Merced to then board an Authority bus for Sacramento </t>
  </si>
  <si>
    <t>False Phase 1:            HSR  Run Times from Fresno to SF, LA, Bakersfield and Merced for Sacramento-bound travelers  (minutes)</t>
  </si>
  <si>
    <t>False Phase 1: Transfer Time in Merced to board HSR train to Madera (for SF destination) or to Merced to take the Authority Bus to Sacramento (minutes)</t>
  </si>
  <si>
    <t>False Phase 1:   Authority Bus Run Time Merced-Sacramento  (minutes)</t>
  </si>
  <si>
    <t>False Phase 1:         Run Time Fresno-San Francisco</t>
  </si>
  <si>
    <t>False Phase 1: HSR one-way fares, Fresno-San Francisco, Fresno-Los Angeles, Fresno-Bakersfield and Fresno-Merced</t>
  </si>
  <si>
    <t xml:space="preserve">See Table 2.2, p. 2-5 [PDF 25] of the DRAFT 2018  Plan's Ridership and Revenue Forecasting, Techical Supporting Document. 
</t>
  </si>
  <si>
    <t>Since Dr. Jones' paper did not address Fresno-Merced, 58.8miles are added to the totals of Fresno-San Jose, Fresno-LA Union (for both the LA and San Diego destinations)</t>
  </si>
  <si>
    <t>False Phase 1:     Transfer Times in LA Union Staton to board Authority HSR train to Merced (minutes)</t>
  </si>
  <si>
    <t>False Phase 1:        HSR Run Times San Jose-LAUS,  San Jose-Merced (for both Redding and S. Lake Tahoe) and LAUS-Merced (for Lake Tahoe and Redding  (minutes)</t>
  </si>
  <si>
    <t>False Phase 1:      Transfer Time at end of HSR travel in Merced for Authority bus to Sacramento or LAUS for Greyhound to Santa Barbara  (minutes)</t>
  </si>
  <si>
    <t xml:space="preserve">See Table A.2.1, p. A-2 [PDF 62] of 2018 Business Plan, Ridership and Revenue Forecasting, Technical Supporting Document
"
</t>
  </si>
  <si>
    <t>False Phase 1:         Run Times of Authority bus Merced-Sacramento  (minutes)</t>
  </si>
  <si>
    <t>False Phase 1:   Transfer Time in Sacramen for Greyhound bus to Redding and South Lake Tahoe (Truckee) or in LAUS for by Greyhound bus to Santa Barbara  (minutes)</t>
  </si>
  <si>
    <t>False Phase 1:             Greyhound bus Run Time Sacramento-Redding and Sacramento-South Lake Tahoe (Truckee) or LAIS-Santa Barbara (minutes)</t>
  </si>
  <si>
    <t xml:space="preserve">False Phase 1: Greyhound bus Run Times to get to Sacramento, the nearest HSR station, piror to starting HSR-inclusive travel (minutes) </t>
  </si>
  <si>
    <t>False Phase 1:                    One-way Greyhound bus fares Redding-Sacramento or return (does not include access cost)</t>
  </si>
  <si>
    <t>False Phase 1: HSR one-way fares San Jose-LAUS, or San Jose-Merced or LAUS-Merced</t>
  </si>
  <si>
    <t>False Phase 1:    LAUS-Santa Barbara Greyhound fares or Authority bus fares Merced-Sacramento ($10)</t>
  </si>
  <si>
    <t>False Phase 1: Onward Greyhound travel from Sacramento to destination one-way fares</t>
  </si>
  <si>
    <r>
      <t xml:space="preserve"> The Greyhound bus fare Sacramento-South Lake Tahoe (Truckee) is $35: Sacramento-Redding is $34. See: </t>
    </r>
    <r>
      <rPr>
        <sz val="6"/>
        <color indexed="12"/>
        <rFont val="Calibri"/>
        <family val="2"/>
      </rPr>
      <t>https://www.greyhound.com/en/ecommerce/schedule</t>
    </r>
  </si>
  <si>
    <t xml:space="preserve">For 23¢/mile, see Table 3.3, p.3-4  [PDF 32] of CA High-Speed Rail  2018 Business Plan, Ridership and Revenue Forecasting: Technical Supporting Document.
</t>
  </si>
  <si>
    <t xml:space="preserve">Per occupant Auto costs based on 110% of 23¢/mile (29¢/mile). For the Authority-set 23¢/mile, see Table 3.3, p.3-4  [PDF 32] of the CA High-Speed Rail  2018 Business Plan, Ridership and Revenue Forecasting: Technical Supporting Document.
</t>
  </si>
  <si>
    <t xml:space="preserve">HSR fares are based on formulas found on p. 2-5 {PDF 25] of 2018  Business Plan Ridership and Revenue Forecasts, Technical Supporting Document
</t>
  </si>
  <si>
    <t>False Phase 1:  Total Travel Times and Costs for Intra-MTC and intra-SCAG round-trips by HSR and Auto for the LONGEST miles within the regions where HSR's ±200mph service will be available</t>
  </si>
  <si>
    <t>False Phase 1:                    Per person fares for intra-regional round-trip by Caltrain, Metrolink or Amtrak (2017 $$s)</t>
  </si>
  <si>
    <t xml:space="preserve">False Phase 1:          HSR One-Way Run Times (minutes)   n.b. There is no +200mph HSR service inside SACOG or SANDAG during False Phase 1. </t>
  </si>
  <si>
    <t>False Phase 1:                                   Total Round-Trip HSR Times.plus 71minutes of access+egress times for the outward bound and 71minutes of access+egress times for the return trip</t>
  </si>
  <si>
    <t xml:space="preserve">False Phase 1: MTC's Longest internal Distance: SFTBT-Gilroy/78miles, which is &gt;50miles                                           </t>
  </si>
  <si>
    <t>False Phase 1:  SCAG's Longest Internal Distance: Anaheim-Palmdale/84 miles, which is &gt;50miles</t>
  </si>
  <si>
    <t xml:space="preserve">False Phase 1:  Total Travel Times and Total Travel Costs for MTC and SCAG  Intra-regional round-trips by HSR and Auto for 50 HSR miles or less (&lt;50miles) </t>
  </si>
  <si>
    <t>False Phase 1:           Per person fares for intra-regional round-trip by Caltrain, Metrolink or Amtrak (2017 $$s)</t>
  </si>
  <si>
    <t>False Phase 1:  Total Travel Times and Total Travel Costs for MTC and SCAG  Intra-regional round-trips by HSR and Auto for 50 HSR miles or less (&lt;50miles) and Burbank-Palmdale (51miles)</t>
  </si>
  <si>
    <t xml:space="preserve">False Phase 1 Run Times from A.2.2 p. A-2 [PDF 62] of 2018 Ridership and Revenue Forecasting, Technical Supporting Document. </t>
  </si>
  <si>
    <t>False Phase 1:           Table 2.2 based Round-trip, Origin-Destination-Origin HSR Fares ($s)</t>
  </si>
  <si>
    <t xml:space="preserve">See California High Speed Rail 2018 Business Plan, Ridership and Revenue Forecasting, Technical Supporting Document Table 2.2, p.2-5 [PDF 25] </t>
  </si>
  <si>
    <t>False Phase 1:  Per person cost of intra-regional round-trip fares using HSR; bassed on Figure 2.2 fares</t>
  </si>
  <si>
    <t xml:space="preserve">False Phase 1:          HSR One-Way Run Times (minutes)  </t>
  </si>
  <si>
    <t>OC Gateway-Anaheim/     13miles</t>
  </si>
  <si>
    <t xml:space="preserve">Burbank-Palmdale/   51miles </t>
  </si>
  <si>
    <t>Burbank (BUR)-Anaheim/  33miles</t>
  </si>
  <si>
    <t>False Phase 1:  Cost of Driving Alone Round-Trip @ 23¢/mile, the Authority's metric for fully-loaded auto costs</t>
  </si>
  <si>
    <t>False Phase 1: Per person cost of intra-regional round-trip fares using HSR; bassed on Figure 2.2 fares</t>
  </si>
  <si>
    <t>Palmdale-Merced/                                               269miles</t>
  </si>
  <si>
    <t>OC Gateway-Fresno/                                            281miles</t>
  </si>
  <si>
    <t xml:space="preserve">Round Trip Travel to/from Madera, added into the 2018 Business Plan as the  12th HSR station the Authority's trains will serve. </t>
  </si>
  <si>
    <t>Oakland-Fresno/                        209miles</t>
  </si>
  <si>
    <t xml:space="preserve">Round-Trip Travel to/from San Francisco's East Bay (MTC's Alameda and Contra Costa counties-total pop. is 2.9million) during False Phase 1 - because Oakland is CA's eighth most populated city and BART's extension to San Jose makes Oakland accessible to two Bay Area HSR stations.  Name of Origin and Destination and one-way HSR miles between the stations. Note that HSR miles are often longer than driving miles  </t>
  </si>
  <si>
    <t>False Phase 1: Round trip airfares and $23 of Round Trip access+egress costs</t>
  </si>
  <si>
    <t xml:space="preserve"> Travel to/from Monterey to the major cities in other regions where the Authority claims ridership and revenue during False Phase 1  </t>
  </si>
  <si>
    <t xml:space="preserve"> Travel to/from Redding (Far North) to the major cities in other regions where the Authority claims ridership and revenue during False Phase 1   </t>
  </si>
  <si>
    <t xml:space="preserve"> Travel to/from Santa Barbara (Mid-Coast) to the major cities in other regions where the Authority claims ridership and revenue during False Phase 1   </t>
  </si>
  <si>
    <t xml:space="preserve"> Travel to/from South Lake Tahoe (Western Sierra) to the major cities in other regions where the Authority claims ridership and revenue during False Phase 1 .  Note: the nearest commercial airport, 85miles, is Reno, NV, which is a shorter drive than to Truckee, CA, therefore used in these calculations. </t>
  </si>
  <si>
    <t xml:space="preserve"> Travel to/from Yosemite National Park Village to the major cities in other regions where the Authority claims ridership and revenue during False Phase 1   Note: the nearest commercial airport to Yosemite is Fresno (FAT), therefore used in these calculations. </t>
  </si>
  <si>
    <t>OC Gateway-Gilroy /402miles</t>
  </si>
  <si>
    <t>Palmdale-Gilroy/331miles</t>
  </si>
  <si>
    <t>Palmdale-San Jose/361miles</t>
  </si>
  <si>
    <t>Palmdale-Millbrae/394miles</t>
  </si>
  <si>
    <t>Sacramento-Anaheim/470miles</t>
  </si>
  <si>
    <t>Millbrae-OC Gateway/465miles</t>
  </si>
  <si>
    <t>San Jose-OC Gateway/432 miles</t>
  </si>
  <si>
    <t>San Jose-Anaheim/445miles</t>
  </si>
  <si>
    <t>Millbrae-Burbank/445miles</t>
  </si>
  <si>
    <t>San Diego-Stockton/521miles</t>
  </si>
  <si>
    <t>San Diego-Turlock/422miles</t>
  </si>
  <si>
    <t>San Diego-Sacramento/560miles</t>
  </si>
  <si>
    <t xml:space="preserve"> San Diego-Gilroy/429miles</t>
  </si>
  <si>
    <t>False Phase 1: HSR Run Times between LAUS and Merced or Gilroy (minutes)</t>
  </si>
  <si>
    <t>False Phase 1: Transfer Times to Authority Bus in Merced  after HSR Ride (minutes)</t>
  </si>
  <si>
    <t>False Phase 1: Authority Bus Run Times Merced northward -  after HSR ride (minutes)</t>
  </si>
  <si>
    <t>False Phase 1:         HSR Run Times LAUS-Merced or LAUS-SFTBT (minutes)</t>
  </si>
  <si>
    <t>False Phase 1: Transfer Times in Merced to Authority Bus and SFTBT-BART after HSR Ride (minutes)</t>
  </si>
  <si>
    <t xml:space="preserve">See Table A.2.2, p.A-2 [PDF 62] of the 2018 Business Plan, Ridership and Revenue Forecasting.  Note: The Embarcadero BART station is three blocks from SFTBT, requiring a Tranfer Time of a 10minute walk and a 15minute wait for HSR at SFTBT. </t>
  </si>
  <si>
    <t>False Phase 1: Run Times for Authority Bus and BART after HSR ride (minutes)</t>
  </si>
  <si>
    <t>False Phase 1:     Amtrak Pacific Surliner fare San Diego-LAUS before HSR travel (does not include access cost)</t>
  </si>
  <si>
    <t>False Phase 1: HSR fares - LAUS-Merced, LAUS-Millbrae or LAUS-SFTB</t>
  </si>
  <si>
    <t>False Phase 1: Authority Dedicated Bus Fare (northwards from Merced) or BART SFTBT-Oakland</t>
  </si>
  <si>
    <r>
      <rPr>
        <sz val="6"/>
        <color theme="1"/>
        <rFont val="Calibri"/>
        <family val="2"/>
      </rPr>
      <t>The Merced-Stockton fare ($1.00), like the Merced-Sacramento fare ($10.00) is found on p. 2-2 [PDF 26] of the 2018 Ridership and Revenue Forecasting, Technical Supporting Document (June 2018). The 12th St. Oakland Center to Embarcadero BART line takes 12minutes and costs $3.45.</t>
    </r>
    <r>
      <rPr>
        <sz val="6"/>
        <color indexed="12"/>
        <rFont val="Calibri"/>
        <family val="2"/>
      </rPr>
      <t xml:space="preserve"> Found at: http://www.bart.gov/tickets/calculator. </t>
    </r>
  </si>
  <si>
    <t>False Phsse 1: Onward publci transit travel-related transportation fares</t>
  </si>
  <si>
    <t>False Phase 1:                     One-way distances in driving miles from San Diego (SANDAG) Origin to Destination</t>
  </si>
  <si>
    <t>False Phase 1:     One-way Authority formula-based HSR fare - only using HSR or an Authority Dedicated Bus</t>
  </si>
  <si>
    <t>San Diego-Stockton/                        521miles</t>
  </si>
  <si>
    <t>San Diego-Millbrae/                      493miles</t>
  </si>
  <si>
    <t>San Diego-Millbrae/493miles</t>
  </si>
  <si>
    <t>San Diego-Oakland/594miles</t>
  </si>
  <si>
    <t>False Phase 1:                     Per person cost of inter-regional round-trip by Auto; i.e. driver with one passenger = (.5 * 110% of 23¢/mile)</t>
  </si>
  <si>
    <t>San Diego-Palmdale/175miles</t>
  </si>
  <si>
    <t>False Phase 1:         HSR Run Times between the Origins and Merced.</t>
  </si>
  <si>
    <t>False Phase 1:         Transfer Times in Merced to Authority Dedicated Buses  (minutes)</t>
  </si>
  <si>
    <t>False Phase 1:         Authority Bus Run Times between Merced and Destinations (minutes)</t>
  </si>
  <si>
    <t>See: Appendix A.2, Table A.2.1 p. A-2 [PDF 62] of the  2018 Ridership and Revenue Forecasting, Technical Supporting Document</t>
  </si>
  <si>
    <t>False Phase 1:         Other Origins and Destinations's Transfer or Run Times (minutes)</t>
  </si>
  <si>
    <t>False Phase 1: Fares from Origin HSR station to Merced's Amtrak station</t>
  </si>
  <si>
    <t>False Phase 1:  Authority Dedicated Bus fares after the SCAG-Merced HSR ride</t>
  </si>
  <si>
    <t>False Phase 1:          One-way, Table 2.2-based HSR fares, plus subsidized Authority Dedicated Bus fares related to that route</t>
  </si>
  <si>
    <t>Anaheim-Modesto/391miles</t>
  </si>
  <si>
    <t>OC Gateway-Elk Grove/444miles</t>
  </si>
  <si>
    <t>Burbank (BUR)-Turlock/                                       342miles</t>
  </si>
  <si>
    <t>OC Gateway-Elk Grove/                                               444miles</t>
  </si>
  <si>
    <t>L</t>
  </si>
  <si>
    <t>M</t>
  </si>
  <si>
    <t>Merced-Millbrae/243miles</t>
  </si>
  <si>
    <t>San Diego-Bakersfield/283miles</t>
  </si>
  <si>
    <r>
      <t>San Diego-Merced</t>
    </r>
    <r>
      <rPr>
        <b/>
        <sz val="9"/>
        <rFont val="Calibri"/>
        <family val="2"/>
      </rPr>
      <t>/446miles</t>
    </r>
  </si>
  <si>
    <t>THESE CALCULATIONS ARE BASED ON DATA FROM THE AUTHORITY'S FINAL 2018 BUSINESS PLAN AND APPENDICES</t>
  </si>
  <si>
    <t>False Phase 1:              Total Round-Trip HSR Times.plus 71minutes of access+egress times for the outward bound AND 71minutes of access+egress times for the return trip</t>
  </si>
  <si>
    <t>False Phase 1: Cost of Driving Alone Round-Trip @ 26¢/mile, the Authority's metric for fully-loaded auto costs</t>
  </si>
  <si>
    <r>
      <rPr>
        <b/>
        <sz val="8"/>
        <rFont val="Calibri"/>
        <family val="2"/>
      </rPr>
      <t xml:space="preserve"> One-way distances traveled by an Authority client, including HSR, Authority Bus and other public transport.</t>
    </r>
    <r>
      <rPr>
        <sz val="8"/>
        <rFont val="Calibri"/>
        <family val="2"/>
      </rPr>
      <t xml:space="preserve"> Travel is from Sacramento's Amtrak Station during False Phase 1 because Sacramento is the 6th most populated city and the 5th most densely populated city in CA. Name of Origin and Destination and one-way HSR miles between the stations. Note that HSR miles are often longer than driving miles     </t>
    </r>
  </si>
  <si>
    <t>False Phase 1:                     Only one-way HSR miles based on distances between city pairs' rail stations.  Based on work of Dr. Paul Jones (2015) station-to-station mileage.</t>
  </si>
  <si>
    <t>Fresno-Sacramento/172miles</t>
  </si>
  <si>
    <t>Merced-Gilroy/180miles</t>
  </si>
  <si>
    <t>Merced-Millbrae/                                 243miles</t>
  </si>
  <si>
    <t>False Phase 1:              Pre-HSR transportation Wait Times: does not include access to HSR station times (minutes)</t>
  </si>
  <si>
    <t xml:space="preserve">Round Trip Travel to/from Madera, added into the 2018 Business Plan as the  14th HSR station that the Authority's trains will serve during False Phase 1. </t>
  </si>
  <si>
    <t>Palmdale-Gilroy/                              331miles</t>
  </si>
  <si>
    <t>Burbank-Gilroy (BUR)/                                                 382miles</t>
  </si>
  <si>
    <t>Palmdale-Millbrae/                                                    394miles</t>
  </si>
  <si>
    <t xml:space="preserve"> Travel from Los Angeles area (SCAG) during False Phase 1 - because LA metro area is the largest in CA.  Name of Origin and Destination and one-way HSR miles (differ from driving miles) between the stations. Note that HSR miles are often longer than driving miles</t>
  </si>
  <si>
    <t xml:space="preserve">Travel from the SF Bay Area (MTC) because it is is CA's  second larget metropolitan area.  Name of Origin and Destination and one-way HSR miles between the stations. Note that HSR miles are often longer than driving miles  </t>
  </si>
  <si>
    <t xml:space="preserve">Travel from San Francisco's East Bay (MTC's Alameda and Contra Costa counties-total pop. is 2.9million) during False Phase 1 - because Oakland CA's eighth most populated city and BART's extension to San Jose makes Oakland accessible two Bay Area HSR station.  Name of Origin and Destination and one-way HSR miles between the stations. Note that HSR miles are often longer than driving miles  </t>
  </si>
  <si>
    <t>Long Beach-Oakland/503miles</t>
  </si>
  <si>
    <t>False Phase 1: HSR Run Times between Origins and Destinations and between LA Metro Originas and destinations or SFTBT (minutes)</t>
  </si>
  <si>
    <t>False Phase 1: HSR Run Times from SFTBT, San Jose or Millbrae to specific Destinations (minutes)</t>
  </si>
  <si>
    <t>False Phase 1: HSR Run Times From MTC Origins to Los Angeles Union Station (LAUS) or a specific SCAG destinations (minutes)</t>
  </si>
  <si>
    <r>
      <rPr>
        <b/>
        <sz val="9"/>
        <color indexed="18"/>
        <rFont val="Calibri"/>
        <family val="2"/>
      </rPr>
      <t>These are Total Travel Costs and Total Travel Time comparisons.</t>
    </r>
    <r>
      <rPr>
        <sz val="9"/>
        <color indexed="18"/>
        <rFont val="Calibri"/>
        <family val="2"/>
      </rPr>
      <t xml:space="preserve"> Caltrain, Amtrak San Joaquin Valley and Metrolink operate with state/federal subsidies.  According to AB3034 Section 2704.08 (j) the Authority's fares are supposedly not reliant on operating subsidies to have the HSR system operationally profitable. 
</t>
    </r>
  </si>
  <si>
    <t>Auto Travel – Distances Total Travel Times &amp; Total Travel Costs</t>
  </si>
  <si>
    <t xml:space="preserve">Elements of High-Speed Rail ≠ Other Public Conveyances Total Travel Times        </t>
  </si>
  <si>
    <r>
      <t xml:space="preserve">HSR </t>
    </r>
    <r>
      <rPr>
        <b/>
        <sz val="9"/>
        <color indexed="8"/>
        <rFont val="Calibri"/>
        <family val="2"/>
      </rPr>
      <t>+ Other</t>
    </r>
    <r>
      <rPr>
        <b/>
        <sz val="9"/>
        <color indexed="8"/>
        <rFont val="Calibri"/>
        <family val="2"/>
      </rPr>
      <t xml:space="preserve"> Total Travel Times </t>
    </r>
  </si>
  <si>
    <t xml:space="preserve">Elements of HSR Authority's Table 2.2-based + Other Public Conveyance Total Travel Costs    </t>
  </si>
  <si>
    <t>HSR Table 2.2 + Other – Total Travel Costs</t>
  </si>
  <si>
    <r>
      <t xml:space="preserve">HSR </t>
    </r>
    <r>
      <rPr>
        <b/>
        <sz val="8"/>
        <color indexed="10"/>
        <rFont val="Calibri"/>
        <family val="2"/>
      </rPr>
      <t>Formula + Other</t>
    </r>
    <r>
      <rPr>
        <b/>
        <sz val="8"/>
        <color indexed="10"/>
        <rFont val="Calibri"/>
        <family val="2"/>
      </rPr>
      <t xml:space="preserve"> Total Travel Costs </t>
    </r>
  </si>
  <si>
    <t>San Diego-Sacramento/                 560miles</t>
  </si>
  <si>
    <t>San Diego-Oakland/                594miles</t>
  </si>
  <si>
    <t>Oakland-Palmdale/                                  419miles</t>
  </si>
  <si>
    <t>Oakland-Anaheim/                                  503miles</t>
  </si>
  <si>
    <t>"""</t>
  </si>
  <si>
    <t xml:space="preserve">   Palmdale-San Jose/                                                       361miles</t>
  </si>
  <si>
    <t>1 = Yellow = HSR is Total Travel Time (TTT) comptetive</t>
  </si>
  <si>
    <t xml:space="preserve">Legend of Winner's Colors	</t>
  </si>
  <si>
    <t>Note:. There  are no plans for ±200mph HSR service in the Sacramento Area (SACOG), only a highly subsidized Authority dedicated bus
only an Autority bus service and not even that to/from San Diego County (SANDAG)</t>
  </si>
  <si>
    <t>Legend of Winner's Colors</t>
  </si>
  <si>
    <t>0 = Yellow = HSR is Total Travel Time (TTT) competitive</t>
  </si>
  <si>
    <t>Legend of Winners' Colors</t>
  </si>
  <si>
    <r>
      <t xml:space="preserve">13 = Green = Auto is more TTT competitive </t>
    </r>
    <r>
      <rPr>
        <b/>
        <u/>
        <sz val="9"/>
        <color theme="1"/>
        <rFont val="Calibri (Body)_x0000_"/>
      </rPr>
      <t>and</t>
    </r>
    <r>
      <rPr>
        <b/>
        <sz val="9"/>
        <color theme="1"/>
        <rFont val="Calibri (Body)_x0000_"/>
      </rPr>
      <t xml:space="preserve"> </t>
    </r>
    <r>
      <rPr>
        <b/>
        <sz val="9"/>
        <color theme="1"/>
        <rFont val="Calibri"/>
        <family val="2"/>
        <scheme val="minor"/>
      </rPr>
      <t>Total Travel Cost (TTC) competitive than HSR</t>
    </r>
  </si>
  <si>
    <t xml:space="preserve">HSR – Total Travel Times </t>
  </si>
  <si>
    <t>Elements of HSR Total Travel Costs  Using Table 2.2-based fares and other fares</t>
  </si>
  <si>
    <t>HSR – Total Travel Costs using Table 2.2</t>
  </si>
  <si>
    <t>HSR – Total Travel Costs using Formulas</t>
  </si>
  <si>
    <t>Minutes saved traveling round-trip Door-to-Door using Air travel - includes 90 (2*45) minutes for airport security not added for HSR travel</t>
  </si>
  <si>
    <t>San Jose-Stockton/239miles</t>
  </si>
  <si>
    <t>San Jose-Stockton/                                         239miles</t>
  </si>
  <si>
    <t>San Jose-Elk Grove/244miles</t>
  </si>
  <si>
    <t>San Jose-Elk Grove/                                          244miles</t>
  </si>
  <si>
    <t>See Table 2.2, p.2-5 [PDF 25] of California High Speed Rail 2018 Business Plan, Ridership and Revenue Forecasting, Technical Supporting Document (June 2018)</t>
  </si>
  <si>
    <t xml:space="preserve">Per occupant Auto costs based on 110% of 23¢/mile (25¢/mile). For the Authority-set 23¢/mile, see Table 3.3, p.3-4  [PDF 32] of the CA High-Speed Rail 2018 Business Plan, Ridership and Revenue Forecasting: Technical Supporting Document (June 2018)
</t>
  </si>
  <si>
    <t>HSR fares are based on formulas found on p. 2-5 {PDF 25] of 2018 Business Plan Ridership and Revenue Forecasts, Technical Supporting Document</t>
  </si>
  <si>
    <t>N</t>
  </si>
  <si>
    <t>WINNERS OF ROUTES</t>
  </si>
  <si>
    <t>NUMBER OF ROUTES ANALYZED</t>
  </si>
  <si>
    <t>False Phase 1: Transfer Time (Wait Time) between LAUS and Amtrak Pacific Surfliner</t>
  </si>
  <si>
    <t>False Phase 1:     Amtrak Pacific Surfliner HSR Run Time</t>
  </si>
  <si>
    <t xml:space="preserve">n. a. </t>
  </si>
  <si>
    <t>False Phase 1:            Fares prior to taking HSR at Merced: does not include access costs</t>
  </si>
  <si>
    <t>False Phase 1:           one-way fares from Merced to LA Basin destinations</t>
  </si>
  <si>
    <t>False Phase 1:             Amtrak Pacific Surliner train fares</t>
  </si>
  <si>
    <t>False Phsse 1: Onward travel-related transportation fares</t>
  </si>
  <si>
    <t>False Phase 1:                     Round-Trip driving mile distances from and returning to Sacramento Origin</t>
  </si>
  <si>
    <t>Miles are Merced-southward to LA Metro destinations. Fares for Authority's Sacramento-Merced bus ride ($10) are counted elsewhere</t>
  </si>
  <si>
    <t>Sacramento-OC Gateway/460miles</t>
  </si>
  <si>
    <t>Sacramento-Palmdale/435miles</t>
  </si>
  <si>
    <r>
      <t>Los Angeles-San Jose</t>
    </r>
    <r>
      <rPr>
        <b/>
        <sz val="7"/>
        <rFont val="Calibri"/>
        <family val="2"/>
      </rPr>
      <t>/                              418miles</t>
    </r>
  </si>
  <si>
    <r>
      <rPr>
        <b/>
        <sz val="12"/>
        <color rgb="FFFF0000"/>
        <rFont val="Calibri"/>
        <family val="2"/>
      </rPr>
      <t xml:space="preserve">0 </t>
    </r>
    <r>
      <rPr>
        <b/>
        <sz val="12"/>
        <color rgb="FF0000FF"/>
        <rFont val="Calibri"/>
        <family val="2"/>
      </rPr>
      <t>of these</t>
    </r>
    <r>
      <rPr>
        <b/>
        <sz val="12"/>
        <color rgb="FFFF0000"/>
        <rFont val="Calibri"/>
        <family val="2"/>
      </rPr>
      <t xml:space="preserve"> 26 </t>
    </r>
    <r>
      <rPr>
        <b/>
        <sz val="12"/>
        <color indexed="12"/>
        <rFont val="Calibri"/>
        <family val="2"/>
      </rPr>
      <t>analyses of travel to /from Other Regions, (defined by the Authority as Far North, West Sierra Nevada, Monterey and Central Coast, and the principal cities of MTC, SCAG, SJV, SACOG and SANDAG) showed that travel using HSR for some portion was Total Travel Time (TTT) competitive against Auto or Air travels' Total Travel Time (TTT) and Total Travel Costs (TTC) during Fake Phase 1 (2033-2040)</t>
    </r>
  </si>
  <si>
    <t>False Phase 1:            HSR one-way fares Merced  to final Destination</t>
  </si>
  <si>
    <t>False Phase 1:            HSR one-way fares Merced to final Destination</t>
  </si>
  <si>
    <t>Burbank-Gilroy/382miles</t>
  </si>
  <si>
    <t>San Jose-Burbank/412miles</t>
  </si>
  <si>
    <r>
      <t>San Jose-San Diego</t>
    </r>
    <r>
      <rPr>
        <b/>
        <sz val="7"/>
        <color indexed="8"/>
        <rFont val="Calibri"/>
        <family val="2"/>
      </rPr>
      <t>/546miles</t>
    </r>
  </si>
  <si>
    <t>Oakland-SF-Burbank/470miles</t>
  </si>
  <si>
    <t>Sacramento-Burbank/437miles</t>
  </si>
  <si>
    <t>Burbank-Merced/320miles</t>
  </si>
  <si>
    <t>Burbank-Madera/236miles</t>
  </si>
  <si>
    <t>Bakersfield-Burbank/154miles</t>
  </si>
  <si>
    <t>Fresno-Burbank/261miles</t>
  </si>
  <si>
    <t>KT Hanford-Burbank/228miles</t>
  </si>
  <si>
    <t>Burbank-LAUS/ 6miles</t>
  </si>
  <si>
    <t>Burbank-Anaheim/33miles</t>
  </si>
  <si>
    <t>Fresno-KT Hanford (Visalia)/44miles</t>
  </si>
  <si>
    <t>Merced-( Visalia) KT Hanford/88miles</t>
  </si>
  <si>
    <t xml:space="preserve">Palmdale has no commercial air service.  Passengers are routed to Los Angeles International (LAX) - 65 miles SW of Palmdale. </t>
  </si>
  <si>
    <t>San Francisco-Gilroy/                                                                   78miles</t>
  </si>
  <si>
    <t>False Phase 1:               HSR or Metrolink fares before HSR travel (does not include access cost)</t>
  </si>
  <si>
    <t>False Phase 1:             HSR or Metrolink fares before HSR travel (does not include access cost)</t>
  </si>
  <si>
    <t>False Phase 1:           HSR and Metrolink fares before HSR travel (does not include access cost)</t>
  </si>
  <si>
    <t>San Francisco-Madera/                                                 168miles</t>
  </si>
  <si>
    <t>San Francisco-Merced/                                      202miles</t>
  </si>
  <si>
    <t>San Francisco-Turlock/                                        230miles</t>
  </si>
  <si>
    <t>San Francisco-Modesto/                                          245miles</t>
  </si>
  <si>
    <t>False Phase 1                     One-way Distances in driving miles from the SF Bay Area (MTC) Origin to designated Destination in the San Joaquin Valley (SJV)</t>
  </si>
  <si>
    <t>False Phase 1:                     Round-Trip driving mile distances from and returning to the SF Bay Area (MTC)</t>
  </si>
  <si>
    <t>FFalse Phase 1:          Round-Trip Door-to-Door Auto Travel Times</t>
  </si>
  <si>
    <t>False Phase 1:                  Cost of Driving Alone Round-Trip @ 23¢/mile, the Authority's metric for fully-loaded auto costs</t>
  </si>
  <si>
    <t>False Phase 1:                         Per person cost of inter-regional round-trip by Auto; i.e. driver with one passenger = (.5 * 110% of 23¢/mile)</t>
  </si>
  <si>
    <t>False Phase 1:             Run Times of Authority's Dedicated Bus linking Madera to northward San Joaquin Valley destinations (minutes)</t>
  </si>
  <si>
    <t>False Phase 1:           Wait Time in Bakersfield after Techachapi crossing to board northbound HSR (minutes)</t>
  </si>
  <si>
    <t>False Phase 1:             HSR's fastest Run times (minutes) between Bakersfield and northward destinations</t>
  </si>
  <si>
    <t>False Phase 1: Wait Time and transfer time at end of HSR travel (minutes)</t>
  </si>
  <si>
    <t>False Phase 1: Travel time by Authority Dedicated Bus or BART after HSR travel</t>
  </si>
  <si>
    <t>False Phase 1: One-Way HSR and Authority Bus travel times (minutes)</t>
  </si>
  <si>
    <t>False Phase 1:           Round-Trip HSR Run Times plus other Authority-offered transport modes.</t>
  </si>
  <si>
    <t>False Phase 1:                Authority Dedicated bus fares from Madera to destinations</t>
  </si>
  <si>
    <t xml:space="preserve">False Phase 1:         Further Authority Bu or HSR Fares </t>
  </si>
  <si>
    <t>False Phase 1:              Total One Way Trip HSR and Authority Bus fares</t>
  </si>
  <si>
    <t>False Phase 1:             $$s paid round-trip per HSR passenger more than Auto driver. HSR fares based on Table 2.2. Auto costs based on 23¢/mile</t>
  </si>
  <si>
    <t>False Phase 1:            $$s paid round-trip per HSR rider more than each of two Auto occupants. HSR fares based on Table 2.2. Auto costs based on [110% of 23¢/mile (25¢/mile)/2 occupants]</t>
  </si>
  <si>
    <t>False Phase 1:         One way, Authority formula-based fares</t>
  </si>
  <si>
    <t>False Phase 1:       One way, Authority formula-based HSR fares, plus other speciific, non-HSR costs related to that route</t>
  </si>
  <si>
    <t xml:space="preserve">False Phase 1:            Round-Trip Formula-based HSR Fares on p. 2-5 {PDF 25] of 2018 R&amp;R Forecast plus other speciific, non-HSR costs related to that route </t>
  </si>
  <si>
    <t>False Phase 1:                          HSR Total Travel Costs round-trip, formula-based HSR fares and other specific fares &amp; Round-Trip access+egress costs ($23)</t>
  </si>
  <si>
    <t>False Phase 1:    Per person cost of inter-regional round-trip by HSR Authority transport (+ supplemental) public transit</t>
  </si>
  <si>
    <t>Bakersfield-San Francisco/                                                306miles</t>
  </si>
  <si>
    <t>Merced-Los Angeles/                                                                  326miles</t>
  </si>
  <si>
    <t>False Phase 1:        Fares before HSR travel (does not include access cost)</t>
  </si>
  <si>
    <t>Sacramento-Merced/                    118miles</t>
  </si>
  <si>
    <t>Sacramento-KT Hanford/                           220 miles</t>
  </si>
  <si>
    <t>Sacramento-Bakersfield/                               280miles</t>
  </si>
  <si>
    <t>False Phase 1:            Amtrak San Diego-LAUS or San Diego-Anheim fare + Metrolink fares Anahiem-OC Gateway and LAUS-Palmdale</t>
  </si>
  <si>
    <t>False Phase 1: Total Travel Time gained (TTT minutes) round-trip using Air vs. HSR (negative #s are TTT minutes saved by HSR travelers over Air travelers)</t>
  </si>
  <si>
    <t>Round trip airfares + $23 for access+egress costs and Remote Access Costs if applicable</t>
  </si>
  <si>
    <t>False Phase 1:       Wait Time (Transfer Times) at LAUS for HSR or Amtrak (minutes)</t>
  </si>
  <si>
    <t>Los Angeles-Gilroy/                                              388miles</t>
  </si>
  <si>
    <r>
      <t>Los Angeles-San Francisco</t>
    </r>
    <r>
      <rPr>
        <b/>
        <sz val="7"/>
        <rFont val="Calibri"/>
        <family val="2"/>
      </rPr>
      <t>/                                          466miles</t>
    </r>
  </si>
  <si>
    <t>San Francisco-Palmdale/                                           409miles</t>
  </si>
  <si>
    <t>Millbrae-Los Angeles/                             451miles</t>
  </si>
  <si>
    <t>San Francisco-Burbank (BUR)/                    460miles</t>
  </si>
  <si>
    <t>San Francisco-OC Gateway/              480miles</t>
  </si>
  <si>
    <r>
      <t>San Francisco-Long Beach</t>
    </r>
    <r>
      <rPr>
        <b/>
        <sz val="7"/>
        <color indexed="8"/>
        <rFont val="Calibri"/>
        <family val="2"/>
      </rPr>
      <t>/                                491miles</t>
    </r>
  </si>
  <si>
    <t>Sacramento-Los Angeles/                              440miles</t>
  </si>
  <si>
    <t>Sacramento-OC Gateway/                             460miles</t>
  </si>
  <si>
    <t>Sacramento-Anaheim/                             470miles</t>
  </si>
  <si>
    <t>n. a</t>
  </si>
  <si>
    <t>Redding-San Jose/                                                       522miles</t>
  </si>
  <si>
    <t>Redding-Fresno/                                                               323miles</t>
  </si>
  <si>
    <t>False Phase 1: Cost of Driving Round-Trip @ 23¢/mile, the Authority's metric for fully-loaded auto costs</t>
  </si>
  <si>
    <t>LAX - BFL</t>
  </si>
  <si>
    <t>FAT - LAX</t>
  </si>
  <si>
    <t>SMF - LAX</t>
  </si>
  <si>
    <t>SJC - FAT</t>
  </si>
  <si>
    <t>FAT - SFO</t>
  </si>
  <si>
    <t>FAT - SJC</t>
  </si>
  <si>
    <t>SJC - BFL</t>
  </si>
  <si>
    <t>SJC - SMF</t>
  </si>
  <si>
    <t>SFO - SMF</t>
  </si>
  <si>
    <t>SFO - BFL</t>
  </si>
  <si>
    <t>SMF - FAT</t>
  </si>
  <si>
    <t>FAT - BFL</t>
  </si>
  <si>
    <t xml:space="preserve"> SMF - BFL</t>
  </si>
  <si>
    <t>SAN - LAX</t>
  </si>
  <si>
    <t>LAX - SJC</t>
  </si>
  <si>
    <t>LAX - SFO</t>
  </si>
  <si>
    <t>BUR - SJC</t>
  </si>
  <si>
    <t>LGB - OAK</t>
  </si>
  <si>
    <t>OAK - LAX</t>
  </si>
  <si>
    <t>SMF - BUR</t>
  </si>
  <si>
    <t>SAN - BFL</t>
  </si>
  <si>
    <t>SAN - FAT</t>
  </si>
  <si>
    <t>SAN - SJC</t>
  </si>
  <si>
    <t>SAN - SMF</t>
  </si>
  <si>
    <t>SAN - SFO</t>
  </si>
  <si>
    <t>SAN - OAK</t>
  </si>
  <si>
    <t>MRY - SFO</t>
  </si>
  <si>
    <t>MRY - FAT</t>
  </si>
  <si>
    <t>MRY - SMF</t>
  </si>
  <si>
    <t>MRY - LAX</t>
  </si>
  <si>
    <t>MRY - SAN</t>
  </si>
  <si>
    <t>SBA - MRY</t>
  </si>
  <si>
    <t>SBA - FAT</t>
  </si>
  <si>
    <t>SBA - SAN</t>
  </si>
  <si>
    <t>RDD - SJC</t>
  </si>
  <si>
    <t>RDD - LAX</t>
  </si>
  <si>
    <t>RDD - FAT</t>
  </si>
  <si>
    <t>RDD - SAN</t>
  </si>
  <si>
    <t>RNO - SJC</t>
  </si>
  <si>
    <t>RNO - LAX</t>
  </si>
  <si>
    <t xml:space="preserve">RNO - FAT </t>
  </si>
  <si>
    <t>RNO - SAN</t>
  </si>
  <si>
    <t>SJC - SBA</t>
  </si>
  <si>
    <t>SJC - RDD</t>
  </si>
  <si>
    <t>SBA - RDD</t>
  </si>
  <si>
    <t>SBA - RNO</t>
  </si>
  <si>
    <t>Origins and Destinations of nearest commerical airports      (O-D)</t>
  </si>
  <si>
    <t>One-way flight times-data between nearest commercial airports, in minutes.  See Web site Folders of Commerical Airline Services</t>
  </si>
  <si>
    <t>Remote Access Costs, round trip, for 'remote' passengers traveling to/from an airport in a distant city. For distances of less than 50 miles,  $15 was added. For distances greater than 50 miles, $31 was added.</t>
  </si>
  <si>
    <t>False Phase 1: Total Travel Time gained (TTT minutes) round-trip using Auto vs. HSR  (negative # is TTT minutes more of Auto travel than HSR travel)</t>
  </si>
  <si>
    <t xml:space="preserve">Origins and Destinations (O-Ds) of nearest commerical airports </t>
  </si>
  <si>
    <t>Los Angeles-Madera/                                               250miles</t>
  </si>
  <si>
    <t>Winners In This Set Of Origin-Destination Routes</t>
  </si>
  <si>
    <t>Auto Wins</t>
  </si>
  <si>
    <t>HSR Wins</t>
  </si>
  <si>
    <t>Air Wins</t>
  </si>
  <si>
    <t xml:space="preserve">
Winners In This Set Of Origin-Destination Routes
</t>
  </si>
  <si>
    <t xml:space="preserve">Burbank-Palmdale/           51miles </t>
  </si>
  <si>
    <t>San Francisco-San Jose/                       48miles</t>
  </si>
  <si>
    <t>Fresno-KT Hanford/                               44miles</t>
  </si>
  <si>
    <t xml:space="preserve">
Winners In This Set Of Origin-Destination Routes
</t>
  </si>
  <si>
    <t>San Francisco-Fresno/                                                                  199miles</t>
  </si>
  <si>
    <t>San Francisco-KT Hanford/                              243miles</t>
  </si>
  <si>
    <t>Monterey-Los Angeles/                                           492miles</t>
  </si>
  <si>
    <t>Redding-Los Angeles/                                                                590miles</t>
  </si>
  <si>
    <t>Yosemite Valley-San Francisco/                                      292miles</t>
  </si>
  <si>
    <t>Yosemite Valley-Los Angeles/                                                 360miles</t>
  </si>
  <si>
    <r>
      <t xml:space="preserve">26 = Green = Auto is more TTT competitive </t>
    </r>
    <r>
      <rPr>
        <b/>
        <u/>
        <sz val="10"/>
        <color theme="1"/>
        <rFont val="Calibri (Body)_x0000_"/>
      </rPr>
      <t>and</t>
    </r>
    <r>
      <rPr>
        <b/>
        <sz val="10"/>
        <color theme="1"/>
        <rFont val="Calibri (Body)_x0000_"/>
      </rPr>
      <t xml:space="preserve"> </t>
    </r>
    <r>
      <rPr>
        <b/>
        <sz val="10"/>
        <color theme="1"/>
        <rFont val="Calibri"/>
        <family val="2"/>
        <scheme val="minor"/>
      </rPr>
      <t>Total Travel Cost (TTC) competitive than HSR</t>
    </r>
  </si>
  <si>
    <t>0 = Blue =  Air is both TTT and TTC more competitive than HSR</t>
  </si>
  <si>
    <r>
      <rPr>
        <b/>
        <sz val="12"/>
        <color rgb="FFFF0000"/>
        <rFont val="Calibri"/>
        <family val="2"/>
      </rPr>
      <t>0</t>
    </r>
    <r>
      <rPr>
        <b/>
        <sz val="12"/>
        <color indexed="12"/>
        <rFont val="Calibri"/>
        <family val="2"/>
      </rPr>
      <t xml:space="preserve"> of these </t>
    </r>
    <r>
      <rPr>
        <b/>
        <sz val="12"/>
        <color rgb="FFFF0000"/>
        <rFont val="Calibri"/>
        <family val="2"/>
      </rPr>
      <t>13</t>
    </r>
    <r>
      <rPr>
        <b/>
        <sz val="12"/>
        <color indexed="12"/>
        <rFont val="Calibri"/>
        <family val="2"/>
      </rPr>
      <t xml:space="preserve"> MTC and SCAG analyses of travel &lt;50miles show that HSR train will not be Total Travel Time competitive against Auto's Total Travel Time or Total Travel Costs inside the SF Bay Area (MTC) or the Los Angeles Basin (SCAG) for distances less than 50 miles (&lt;50miles) during False Phase 1</t>
    </r>
  </si>
  <si>
    <t xml:space="preserve">THESE CALCULATIONS ARE BASED ON DATA FROM THE AUTHORITY'S FINAL 2018 BUSINESS PLAN AND APPENDICES																														</t>
  </si>
  <si>
    <t>Sacramento-Palmdale/                          435miles</t>
  </si>
  <si>
    <t>Oakland-Los Angeles/                                            476miles</t>
  </si>
  <si>
    <t>San Diego-San Francisco/                         598miles</t>
  </si>
  <si>
    <t>MTC's Longest Distance:                                                                         SFTBT-Gilroy/78miles</t>
  </si>
  <si>
    <r>
      <t>SCAG's Longest Distance                                                           Anaheim-Palmdale</t>
    </r>
    <r>
      <rPr>
        <b/>
        <sz val="7"/>
        <color indexed="8"/>
        <rFont val="Calibri"/>
        <family val="2"/>
      </rPr>
      <t>/84miles</t>
    </r>
  </si>
  <si>
    <t>SJV's Longest Distance:                                                          Merced-Bakersfield/166miles</t>
  </si>
  <si>
    <r>
      <rPr>
        <b/>
        <sz val="12"/>
        <color rgb="FFFF0000"/>
        <rFont val="Calibri (Body)_x0000_"/>
      </rPr>
      <t xml:space="preserve">1 </t>
    </r>
    <r>
      <rPr>
        <b/>
        <sz val="12"/>
        <color rgb="FF0000FF"/>
        <rFont val="Calibri (Body)_x0000_"/>
      </rPr>
      <t>of t</t>
    </r>
    <r>
      <rPr>
        <b/>
        <sz val="12"/>
        <color indexed="12"/>
        <rFont val="Calibri (Body)_x0000_"/>
      </rPr>
      <t xml:space="preserve">hese </t>
    </r>
    <r>
      <rPr>
        <b/>
        <sz val="12"/>
        <color rgb="FFFF0000"/>
        <rFont val="Calibri (Body)_x0000_"/>
      </rPr>
      <t>17</t>
    </r>
    <r>
      <rPr>
        <b/>
        <sz val="12"/>
        <color indexed="12"/>
        <rFont val="Calibri (Body)_x0000_"/>
      </rPr>
      <t xml:space="preserve"> intra-regional analyses show where the HSR train would be Total Travel Time competitive against Auto or Air's Total Travel Time (TTT) or Total Travel Cost (TTC) during Fake Phase 1 </t>
    </r>
  </si>
  <si>
    <r>
      <t xml:space="preserve">16 =Green = Auto is more  TTT competitive </t>
    </r>
    <r>
      <rPr>
        <b/>
        <u/>
        <sz val="9"/>
        <color theme="1"/>
        <rFont val="Calibri (Body)_x0000_"/>
      </rPr>
      <t xml:space="preserve">and </t>
    </r>
    <r>
      <rPr>
        <b/>
        <sz val="9"/>
        <color theme="1"/>
        <rFont val="Calibri"/>
        <family val="2"/>
        <scheme val="minor"/>
      </rPr>
      <t>Total Travel Cost (TTC) competitive than HSR</t>
    </r>
  </si>
  <si>
    <r>
      <t xml:space="preserve">False Phase 1:  Total Travel Times and Costs for Intra-regional round-trips by HSR and Auto for the longest miles within the three regions where HSR's ±200mph service will be available (plus data for the San Joaquin Valley during IOS North) </t>
    </r>
    <r>
      <rPr>
        <b/>
        <sz val="7"/>
        <rFont val="Calibri"/>
        <family val="2"/>
      </rPr>
      <t xml:space="preserve"> Note:. if Auto travel between the furtherest two HSR stations is cheaper or faster (or both) then it is cheaper or faster (or both) between intermediate HSR stations in the same region</t>
    </r>
  </si>
  <si>
    <r>
      <rPr>
        <b/>
        <sz val="7"/>
        <color theme="1"/>
        <rFont val="Calibri"/>
        <family val="2"/>
        <scheme val="minor"/>
      </rPr>
      <t xml:space="preserve">Note: </t>
    </r>
    <r>
      <rPr>
        <sz val="7"/>
        <color theme="1"/>
        <rFont val="Calibri"/>
        <family val="2"/>
        <scheme val="minor"/>
      </rPr>
      <t>Nineteen Counties (or parts of several) define the San Joaquin Valley: Butte, Colusa, Glenn, El Dorado, Fresno, Kings, Madera, Merced, Placer, San Joaquin, Sacramento, Shasta, Solano, Stanislaus, Sutter, Tehama, Tulare, Yuba, Yolo, and the Southern California county of Kern.</t>
    </r>
    <r>
      <rPr>
        <b/>
        <sz val="7"/>
        <color theme="1"/>
        <rFont val="Calibri"/>
        <family val="2"/>
        <scheme val="minor"/>
      </rPr>
      <t xml:space="preserve"> See</t>
    </r>
    <r>
      <rPr>
        <sz val="7"/>
        <color theme="1"/>
        <rFont val="Calibri (Body)_x0000_"/>
      </rPr>
      <t>:</t>
    </r>
    <r>
      <rPr>
        <sz val="7"/>
        <color rgb="FF0000FF"/>
        <rFont val="Calibri (Body)_x0000_"/>
      </rPr>
      <t xml:space="preserve"> https://en.wikipedia.org/wiki/San_Joaquin_Valley</t>
    </r>
    <r>
      <rPr>
        <b/>
        <sz val="7"/>
        <color rgb="FF0000FF"/>
        <rFont val="Calibri"/>
        <family val="2"/>
        <scheme val="minor"/>
      </rPr>
      <t>.</t>
    </r>
    <r>
      <rPr>
        <b/>
        <sz val="7"/>
        <color rgb="FF000090"/>
        <rFont val="Calibri"/>
        <family val="2"/>
        <scheme val="minor"/>
      </rPr>
      <t xml:space="preserve">  </t>
    </r>
    <r>
      <rPr>
        <b/>
        <sz val="7"/>
        <color theme="1"/>
        <rFont val="Calibri"/>
        <family val="2"/>
        <scheme val="minor"/>
      </rPr>
      <t xml:space="preserve"> </t>
    </r>
    <r>
      <rPr>
        <sz val="7"/>
        <color theme="1"/>
        <rFont val="Calibri"/>
        <family val="2"/>
        <scheme val="minor"/>
      </rPr>
      <t>Although Sacramento is tecnically part of the San Joaquin Valley (SJV)</t>
    </r>
    <r>
      <rPr>
        <sz val="7"/>
        <color theme="1"/>
        <rFont val="Calibri (Body)_x0000_"/>
      </rPr>
      <t xml:space="preserve"> </t>
    </r>
    <r>
      <rPr>
        <sz val="7"/>
        <color theme="1"/>
        <rFont val="Calibri"/>
        <family val="2"/>
        <scheme val="minor"/>
      </rPr>
      <t>the Authority separated the Sacramento Area Council of Governments (SACOG) ridership and revenue from SJV. Hence, Sacramento is in a separate category of analyses. Name of Origin and Destination and one-way HSR miles between the stations. Note that HSR miles are often longer than driving miles. See Figure 2.1, p. 2-2  [PDF 22] of the 2018 Businness Plan, Ridership and Revenue Forecasting, Technical Supporting Documen</t>
    </r>
    <r>
      <rPr>
        <sz val="7"/>
        <color rgb="FF000090"/>
        <rFont val="Calibri"/>
        <family val="2"/>
        <scheme val="minor"/>
      </rPr>
      <t>t</t>
    </r>
  </si>
  <si>
    <r>
      <rPr>
        <sz val="7"/>
        <color rgb="FF000090"/>
        <rFont val="Calibri"/>
        <family val="2"/>
      </rPr>
      <t>Distances and driving times found at:</t>
    </r>
    <r>
      <rPr>
        <sz val="7"/>
        <color indexed="17"/>
        <rFont val="Calibri"/>
        <family val="2"/>
      </rPr>
      <t xml:space="preserve"> </t>
    </r>
    <r>
      <rPr>
        <sz val="7"/>
        <color rgb="FF0000FF"/>
        <rFont val="Calibri"/>
        <family val="2"/>
      </rPr>
      <t xml:space="preserve">https://www.google.com/maps/  </t>
    </r>
  </si>
  <si>
    <r>
      <rPr>
        <sz val="7"/>
        <color theme="1"/>
        <rFont val="Calibri"/>
        <family val="2"/>
      </rPr>
      <t xml:space="preserve">From </t>
    </r>
    <r>
      <rPr>
        <sz val="7"/>
        <color rgb="FF0000FF"/>
        <rFont val="Calibri"/>
        <family val="2"/>
      </rPr>
      <t xml:space="preserve">www. googemaps.com. </t>
    </r>
    <r>
      <rPr>
        <sz val="7"/>
        <color theme="1"/>
        <rFont val="Calibri"/>
        <family val="2"/>
      </rPr>
      <t xml:space="preserve"> Volume 1 [PDF 224 ] of Bay Area to Central Valley HST Final Program EIR/EIS of 2008 says that only auto travel does not require a modal change. Found at: </t>
    </r>
    <r>
      <rPr>
        <sz val="7"/>
        <color rgb="FF0000FF"/>
        <rFont val="Calibri"/>
        <family val="2"/>
      </rPr>
      <t xml:space="preserve">http://www.hsr.ca.gov/Programs/Environmental_Planning/bay_area_2008.html. </t>
    </r>
    <r>
      <rPr>
        <sz val="7"/>
        <color indexed="12"/>
        <rFont val="Calibri"/>
        <family val="2"/>
      </rPr>
      <t xml:space="preserve"> </t>
    </r>
  </si>
  <si>
    <r>
      <rPr>
        <sz val="7"/>
        <color theme="1"/>
        <rFont val="Calibri"/>
        <family val="2"/>
      </rPr>
      <t>The 15% uplift on an Auto round-trip is reasonable given that: 1) for a one-way trip, Table 1.2-3 p. 1-9 [PDF 82] of Bay Area to Central Valley Final Program EIR/EIS, May, 2008 shows that between 2000 and 2030 an Auto trip’s Total Travel Time increases from 2% (Sacramento-San Jose) up to 6.9% for BUR-San Jose, with LA-SF at +5.6%, and 2) Americans lose 0%-30% of their daily commute on road traffic delays. See</t>
    </r>
    <r>
      <rPr>
        <sz val="7"/>
        <color rgb="FF0000FF"/>
        <rFont val="Calibri"/>
        <family val="2"/>
      </rPr>
      <t>: http://abcnews.go.com/US/time-americans-waste-traffic/story?id=33313765</t>
    </r>
    <r>
      <rPr>
        <sz val="7"/>
        <color indexed="18"/>
        <rFont val="Calibri"/>
        <family val="2"/>
      </rPr>
      <t xml:space="preserve"> </t>
    </r>
  </si>
  <si>
    <r>
      <rPr>
        <sz val="6.5"/>
        <color theme="1"/>
        <rFont val="Calibri"/>
        <family val="2"/>
      </rPr>
      <t>Metrolink fares at:</t>
    </r>
    <r>
      <rPr>
        <sz val="6.5"/>
        <color indexed="18"/>
        <rFont val="Calibri"/>
        <family val="2"/>
      </rPr>
      <t xml:space="preserve"> </t>
    </r>
    <r>
      <rPr>
        <sz val="6.5"/>
        <color rgb="FF0000FF"/>
        <rFont val="Calibri"/>
        <family val="2"/>
      </rPr>
      <t xml:space="preserve">http://www.metrolinktrains.com/ </t>
    </r>
    <r>
      <rPr>
        <sz val="6.5"/>
        <color theme="1"/>
        <rFont val="Calibri"/>
        <family val="2"/>
      </rPr>
      <t>Amtrak San Joaquin fare found at:</t>
    </r>
    <r>
      <rPr>
        <sz val="6.5"/>
        <color indexed="18"/>
        <rFont val="Calibri"/>
        <family val="2"/>
      </rPr>
      <t xml:space="preserve"> </t>
    </r>
    <r>
      <rPr>
        <sz val="6.5"/>
        <color rgb="FF0000FF"/>
        <rFont val="Calibri"/>
        <family val="2"/>
      </rPr>
      <t>https://tickets.amtrak.com/itd/amtrak</t>
    </r>
    <r>
      <rPr>
        <sz val="6.5"/>
        <color indexed="18"/>
        <rFont val="Calibri"/>
        <family val="2"/>
      </rPr>
      <t xml:space="preserve">  </t>
    </r>
    <r>
      <rPr>
        <sz val="6.5"/>
        <color theme="1"/>
        <rFont val="Calibri"/>
        <family val="2"/>
      </rPr>
      <t>Caltrain fares found at</t>
    </r>
    <r>
      <rPr>
        <sz val="6.5"/>
        <color indexed="18"/>
        <rFont val="Calibri"/>
        <family val="2"/>
      </rPr>
      <t xml:space="preserve">: </t>
    </r>
    <r>
      <rPr>
        <sz val="6.5"/>
        <color rgb="FF0000FF"/>
        <rFont val="Calibri"/>
        <family val="2"/>
      </rPr>
      <t>http://www.caltrain.com/Fares/farechart.html</t>
    </r>
    <r>
      <rPr>
        <sz val="6.5"/>
        <color indexed="18"/>
        <rFont val="Calibri"/>
        <family val="2"/>
      </rPr>
      <t>.</t>
    </r>
    <r>
      <rPr>
        <sz val="6.5"/>
        <color theme="1"/>
        <rFont val="Calibri"/>
        <family val="2"/>
      </rPr>
      <t xml:space="preserve"> Note that Cambridge Systematics’ (CS) final technical memorandum of Ridership and Revenue Forecasting of April 12, 2012, Section 5.2, p. 5-5 says  “Note that the existing San Joaquin service south of Merced to Bakersfield is assumed to be discontinued upon the initiation of HST service.”</t>
    </r>
  </si>
  <si>
    <t>See: Independent Determination That the Travel Time Requirements of PROP 1A/AB3034 Cannot Be Met, Paul S. Jones; March 13, 2015. Note that Merced-Bakersfield is Fresno-Bakersfield plus the 59miles between Fresno and Merced as Dr. Jones did not verify that distance.</t>
  </si>
  <si>
    <r>
      <rPr>
        <sz val="7"/>
        <color theme="1"/>
        <rFont val="Calibri"/>
        <family val="2"/>
      </rPr>
      <t>In 2011 the RTAP Chair’s presentation showed that HSR’s SF-LA Total Travel Time was 231minutes. Subtracting AB3034’s of 2hrs. 40minutes (160minutes) Run Time requirement leaves 71minutes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7"/>
        <color rgb="FF0000FF"/>
        <rFont val="Calibri"/>
        <family val="2"/>
      </rPr>
      <t xml:space="preserve"> http://iti.northwestern.edu/publications/Lipinski/2011/Morning2</t>
    </r>
    <r>
      <rPr>
        <sz val="7"/>
        <color indexed="18"/>
        <rFont val="Calibri"/>
        <family val="2"/>
      </rPr>
      <t xml:space="preserve">
"
</t>
    </r>
  </si>
  <si>
    <r>
      <rPr>
        <sz val="7"/>
        <color theme="1"/>
        <rFont val="Calibri"/>
        <family val="2"/>
      </rPr>
      <t xml:space="preserve">See California High Speed Rail 2016 Business Plan, Ridership and Revenue Forecasting, Technical Supporting Document Table 3.1, p. 3-3 [PDF 27] . The source of the average of $23 for a round-trip of access and egress costs is: </t>
    </r>
    <r>
      <rPr>
        <i/>
        <sz val="7"/>
        <color theme="1"/>
        <rFont val="Calibri"/>
        <family val="2"/>
      </rPr>
      <t>“As with air travel, both an access fee and an egress fee ranging from $15 to $31 round trip are part of the HST average total costs.”</t>
    </r>
    <r>
      <rPr>
        <sz val="7"/>
        <color theme="1"/>
        <rFont val="Calibri"/>
        <family val="2"/>
      </rPr>
      <t xml:space="preserve"> found on p. 3-2-30 [PDF 261] Bay Area to Central Valley HST Final Program EIR/EIS, Volume 1: Report, May 2008; prepared by the US Dept. of Transportation/Federal Railroad Administration and the California High-Speed Rail Authority</t>
    </r>
  </si>
  <si>
    <r>
      <rPr>
        <b/>
        <sz val="7"/>
        <color theme="1"/>
        <rFont val="Calibri"/>
        <family val="2"/>
      </rPr>
      <t xml:space="preserve">These are Total Travel Costs and Total Travel Time comparisons. </t>
    </r>
    <r>
      <rPr>
        <sz val="7"/>
        <color theme="1"/>
        <rFont val="Calibri"/>
        <family val="2"/>
      </rPr>
      <t xml:space="preserve">Caltrain, Amtrak San Joaquin Valley and Metrolink operate with state/federal subsidies.   According to AB3034 Section 2704.08 (j) the Authority's fares are supposedly not reliant on operating subsidies to have the HSR system operationally profitable. 
</t>
    </r>
  </si>
  <si>
    <r>
      <rPr>
        <b/>
        <sz val="7"/>
        <color theme="1"/>
        <rFont val="Calibri"/>
        <family val="2"/>
      </rPr>
      <t>These are Total Travel Costs and Total Travel Time comparisons.</t>
    </r>
    <r>
      <rPr>
        <sz val="7"/>
        <color theme="1"/>
        <rFont val="Calibri"/>
        <family val="2"/>
      </rPr>
      <t xml:space="preserve"> Caltrain, Amtrak San Joaquin Valley and Metrolink operate with state/federal subsidies.  According to AB3034 Section 2704.08 (j) the Authority's fares are supposedly not reliant on operating subsidies to have the HSR system operationally profitable. 
</t>
    </r>
  </si>
  <si>
    <t xml:space="preserve">These are Total Travel Costs and Total Travel Time comparisons. Caltrain, Amtrak San Joaquin Valley and Metrolink operate with state/federal subsidies.  According to AB3034 Section 2704.08 (j) the Authority's fares are supposedly not reliant on operating subsidies to have the HSR system operationally profitable. 
</t>
  </si>
  <si>
    <t>Although 11 MTC and SCAG routes of 6-51miles (all at or &lt;50miles) are analyzed below, the logic in the two longest MTC and SCAG miles analyses is: if the 78 intra-MTC miles and the 84 intra SCAG miles show that Auto travel is faster and cheaper than using HSR, they also show that on distances of &lt;50miles the added access and egress times to make an HSR journey are not overcome by HSR's speed advantage; therefore inside both MTC and SCAG, Total Travel Time by Auto is always faster.  As these analyses also show, Total Travel Costs by Auto is always cheaper for &lt;50miles.</t>
  </si>
  <si>
    <r>
      <rPr>
        <sz val="7"/>
        <color theme="1"/>
        <rFont val="Calibri"/>
        <family val="2"/>
      </rPr>
      <t>Driiving Miles found at:</t>
    </r>
    <r>
      <rPr>
        <sz val="7"/>
        <color indexed="18"/>
        <rFont val="Calibri"/>
        <family val="2"/>
      </rPr>
      <t xml:space="preserve"> </t>
    </r>
    <r>
      <rPr>
        <sz val="7"/>
        <color indexed="12"/>
        <rFont val="Calibri"/>
        <family val="2"/>
      </rPr>
      <t>www.googlemaps.com</t>
    </r>
  </si>
  <si>
    <r>
      <rPr>
        <sz val="7"/>
        <color theme="1"/>
        <rFont val="Calibri"/>
        <family val="2"/>
      </rPr>
      <t>Driving times are from:</t>
    </r>
    <r>
      <rPr>
        <sz val="7"/>
        <color indexed="18"/>
        <rFont val="Calibri"/>
        <family val="2"/>
      </rPr>
      <t xml:space="preserve"> </t>
    </r>
    <r>
      <rPr>
        <sz val="7"/>
        <color indexed="12"/>
        <rFont val="Calibri"/>
        <family val="2"/>
      </rPr>
      <t>www. googemaps.com.</t>
    </r>
    <r>
      <rPr>
        <sz val="7"/>
        <color indexed="18"/>
        <rFont val="Calibri"/>
        <family val="2"/>
      </rPr>
      <t xml:space="preserve"> </t>
    </r>
    <r>
      <rPr>
        <sz val="7"/>
        <color theme="1"/>
        <rFont val="Calibri"/>
        <family val="2"/>
      </rPr>
      <t>See: Volume 1 [PDF 224 ] of Bay Area to Central Valley HST Final Program EIR/EIS of 2008 says that only auto travel does not require a modal change.</t>
    </r>
    <r>
      <rPr>
        <sz val="7"/>
        <color indexed="18"/>
        <rFont val="Calibri"/>
        <family val="2"/>
      </rPr>
      <t xml:space="preserve"> Found at</t>
    </r>
    <r>
      <rPr>
        <sz val="7"/>
        <color indexed="17"/>
        <rFont val="Calibri"/>
        <family val="2"/>
      </rPr>
      <t>:</t>
    </r>
    <r>
      <rPr>
        <sz val="7"/>
        <color rgb="FF0000FF"/>
        <rFont val="Calibri"/>
        <family val="2"/>
      </rPr>
      <t xml:space="preserve"> http://www.hsr.ca.gov/Programs/Environmental_Planning/bay_area_2008.html.  </t>
    </r>
  </si>
  <si>
    <r>
      <rPr>
        <sz val="6"/>
        <color theme="1"/>
        <rFont val="Calibri"/>
        <family val="2"/>
      </rPr>
      <t>The 15% uplift on an Auto round-trip is reasonable given that: 1) for a one-way trip, Table 1.2-3 p. 1-9 [PDF 82] of Bay Area to Central Valley Final Program EIR/EIS, May, 2008  at:</t>
    </r>
    <r>
      <rPr>
        <sz val="6"/>
        <color indexed="18"/>
        <rFont val="Calibri"/>
        <family val="2"/>
      </rPr>
      <t xml:space="preserve"> </t>
    </r>
    <r>
      <rPr>
        <sz val="6"/>
        <color rgb="FF0000FF"/>
        <rFont val="Calibri"/>
        <family val="2"/>
      </rPr>
      <t>http://www.hsr.ca.gov/Programs/Environmental_Planning/bay_area_2008.html</t>
    </r>
    <r>
      <rPr>
        <sz val="6"/>
        <color indexed="18"/>
        <rFont val="Calibri"/>
        <family val="2"/>
      </rPr>
      <t xml:space="preserve"> </t>
    </r>
    <r>
      <rPr>
        <sz val="6"/>
        <color theme="1"/>
        <rFont val="Calibri"/>
        <family val="2"/>
      </rPr>
      <t>shows that between 2000 and 2030 an Auto trip’s Total Travel Time increases from 2% (Sacramento-San Jose) up to 6.9% for BUR-San Jose, with LA-SF at +5.6%, and 2) Americans lose 0%-30% of their daily commute on road traffic delays. See:</t>
    </r>
    <r>
      <rPr>
        <sz val="6"/>
        <color indexed="18"/>
        <rFont val="Calibri"/>
        <family val="2"/>
      </rPr>
      <t xml:space="preserve"> </t>
    </r>
    <r>
      <rPr>
        <sz val="6"/>
        <color rgb="FF0000FF"/>
        <rFont val="Calibri"/>
        <family val="2"/>
      </rPr>
      <t xml:space="preserve">http://abcnews.go.com/US/time-americans-waste-traffic/story?id=33313765 </t>
    </r>
  </si>
  <si>
    <t>See: Independent Determination That the Travel Time Requirements of PROP 1A/AB3034 Cannot Be Met, Paul S. Jones; March 13, 2015. Merced-Bakersfield is Fresno-Bakersfield plus the 59miles between Fresno and Merced</t>
  </si>
  <si>
    <r>
      <rPr>
        <sz val="7"/>
        <color theme="1"/>
        <rFont val="Calibri"/>
        <family val="2"/>
      </rPr>
      <t>Metrolink fares at</t>
    </r>
    <r>
      <rPr>
        <sz val="7"/>
        <color indexed="10"/>
        <rFont val="Calibri"/>
        <family val="2"/>
      </rPr>
      <t xml:space="preserve"> </t>
    </r>
    <r>
      <rPr>
        <sz val="7"/>
        <color indexed="12"/>
        <rFont val="Calibri"/>
        <family val="2"/>
      </rPr>
      <t>http://www.metrolinktrains.com/</t>
    </r>
    <r>
      <rPr>
        <sz val="7"/>
        <color indexed="18"/>
        <rFont val="Calibri"/>
        <family val="2"/>
      </rPr>
      <t xml:space="preserve"> </t>
    </r>
    <r>
      <rPr>
        <sz val="7"/>
        <color theme="1"/>
        <rFont val="Calibri"/>
        <family val="2"/>
      </rPr>
      <t>Amtrak San Joaquin fare found at:</t>
    </r>
    <r>
      <rPr>
        <sz val="7"/>
        <color indexed="12"/>
        <rFont val="Calibri"/>
        <family val="2"/>
      </rPr>
      <t xml:space="preserve"> https://tickets.amtrak.com/itd/amtrak </t>
    </r>
    <r>
      <rPr>
        <sz val="7"/>
        <color theme="1"/>
        <rFont val="Calibri"/>
        <family val="2"/>
      </rPr>
      <t>Caltrain fares found at:</t>
    </r>
    <r>
      <rPr>
        <sz val="7"/>
        <color indexed="12"/>
        <rFont val="Calibri"/>
        <family val="2"/>
      </rPr>
      <t xml:space="preserve"> http://www.caltrain.com/Fares/farechart.html.</t>
    </r>
    <r>
      <rPr>
        <sz val="7"/>
        <color indexed="18"/>
        <rFont val="Calibri"/>
        <family val="2"/>
      </rPr>
      <t xml:space="preserve"> </t>
    </r>
    <r>
      <rPr>
        <sz val="7"/>
        <color rgb="FF000080"/>
        <rFont val="Calibri"/>
        <family val="2"/>
      </rPr>
      <t xml:space="preserve">Cambridge Systematics’ (CS) final technical memorandum of Ridership and Revenue Forecasting of April 12, 2012, Section 5.2, p. 5-5 says </t>
    </r>
    <r>
      <rPr>
        <i/>
        <sz val="7"/>
        <color theme="1"/>
        <rFont val="Calibri"/>
        <family val="2"/>
      </rPr>
      <t xml:space="preserve"> “Note that the existing San Joaquin service south of Merced to Bakersfield is assumed to be discontinued upon the initiation of HST service.”</t>
    </r>
  </si>
  <si>
    <r>
      <rPr>
        <sz val="7"/>
        <color theme="1"/>
        <rFont val="Calibri"/>
        <family val="2"/>
      </rPr>
      <t>In November 2011, ten months after its formation the Authority's Ridership Technical Advisory Panel (RTAP) Chair’s presentation showed that HSR’s SF-LA Total Travel Time was 231minutes. Subtracting AB3034’s of 2hrs. 40minutes (160minutes) Run Time requirement leaves 71minutes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7"/>
        <color indexed="18"/>
        <rFont val="Calibri"/>
        <family val="2"/>
      </rPr>
      <t xml:space="preserve"> </t>
    </r>
    <r>
      <rPr>
        <sz val="7"/>
        <color rgb="FF0000FF"/>
        <rFont val="Calibri"/>
        <family val="2"/>
      </rPr>
      <t>http://iti.northwestern.edu/publications/Lipinski/2011/Morning2</t>
    </r>
    <r>
      <rPr>
        <sz val="7"/>
        <color indexed="18"/>
        <rFont val="Calibri"/>
        <family val="2"/>
      </rPr>
      <t xml:space="preserve">
"
</t>
    </r>
  </si>
  <si>
    <t xml:space="preserve">False Phase 1:             Per person cost of intra-regional round-trip by Auto; i.e. driver with one passenger = (.5 * 110% of 26¢/mile *miles)o. </t>
  </si>
  <si>
    <r>
      <rPr>
        <b/>
        <sz val="7"/>
        <rFont val="Calibri"/>
        <family val="2"/>
      </rPr>
      <t xml:space="preserve">One-way distances for travelers using HSR and or Authority buses – </t>
    </r>
    <r>
      <rPr>
        <sz val="7"/>
        <rFont val="Calibri"/>
        <family val="2"/>
      </rPr>
      <t>starting  from the Los Angeles Metropolitan area (SCAG) during False Phase 1 - because LA metro area is the largest in CA.  Name of Origin and Destination and one-way HSR miles (differ from driving miles) between the stations. Note that HSR miles are often longer than driving miles</t>
    </r>
  </si>
  <si>
    <t>Los Angeles-Bakersfield/160miles</t>
  </si>
  <si>
    <t>Los Angeles-KT Hanford/223miles</t>
  </si>
  <si>
    <t>False Phase 1:          Pre-HSR transportation Transfer Times: Does not include access times to HSR stations  (minutes)</t>
  </si>
  <si>
    <r>
      <rPr>
        <i/>
        <sz val="6.5"/>
        <color theme="1"/>
        <rFont val="Calibri"/>
        <family val="2"/>
      </rPr>
      <t>"Unlike common carrier transportation modes (air, bus, or rail), the automobile does not require or depend on intermodal connections to get from the trip origin to the trip destination."</t>
    </r>
    <r>
      <rPr>
        <sz val="6.5"/>
        <color theme="1"/>
        <rFont val="Calibri"/>
        <family val="2"/>
      </rPr>
      <t xml:space="preserve"> See p. 3.2-25 [PDF 252] of Bay Area to Central Valley Final Program EIR/EIS, May, 2008.  All driving distances and driving times are from Los Angeles Union Station - LAUS (800 North Alameda St. LA) or Anaheim Regional Transport Center or from OC Gateway (Norwalk) to the Amtrak station of each destination. Distances and driving times found </t>
    </r>
    <r>
      <rPr>
        <sz val="6.5"/>
        <color indexed="18"/>
        <rFont val="Calibri"/>
        <family val="2"/>
      </rPr>
      <t>at</t>
    </r>
    <r>
      <rPr>
        <sz val="6.5"/>
        <color indexed="12"/>
        <rFont val="Calibri"/>
        <family val="2"/>
      </rPr>
      <t>: https://www.google.com/maps/.</t>
    </r>
    <r>
      <rPr>
        <sz val="6.5"/>
        <color indexed="18"/>
        <rFont val="Calibri"/>
        <family val="2"/>
      </rPr>
      <t xml:space="preserve">  _x000B_</t>
    </r>
  </si>
  <si>
    <r>
      <rPr>
        <i/>
        <sz val="6.5"/>
        <color theme="1"/>
        <rFont val="Calibri"/>
        <family val="2"/>
      </rPr>
      <t>“With the exception of the automobile, intercity transportation options require multiple modes to complete a trip.” _x000B_</t>
    </r>
    <r>
      <rPr>
        <sz val="6.5"/>
        <color theme="1"/>
        <rFont val="Calibri"/>
        <family val="2"/>
      </rPr>
      <t>See: Volume 1 Bay Area to Central Valley HST Final Program EIR/EIS of 2008 [PDF 224] at</t>
    </r>
    <r>
      <rPr>
        <i/>
        <sz val="6.5"/>
        <color theme="1"/>
        <rFont val="Calibri"/>
        <family val="2"/>
      </rPr>
      <t>:</t>
    </r>
    <r>
      <rPr>
        <i/>
        <sz val="6.5"/>
        <color indexed="18"/>
        <rFont val="Calibri"/>
        <family val="2"/>
      </rPr>
      <t xml:space="preserve"> </t>
    </r>
    <r>
      <rPr>
        <i/>
        <sz val="6.5"/>
        <color indexed="12"/>
        <rFont val="Calibri"/>
        <family val="2"/>
      </rPr>
      <t>http://www.hsr.ca.gov/Programs/Environmental_Planning/bay_area_2008.htm</t>
    </r>
    <r>
      <rPr>
        <i/>
        <sz val="6.5"/>
        <color indexed="18"/>
        <rFont val="Calibri"/>
        <family val="2"/>
      </rPr>
      <t xml:space="preserve">l. </t>
    </r>
    <r>
      <rPr>
        <sz val="6.5"/>
        <color theme="1"/>
        <rFont val="Calibri"/>
        <family val="2"/>
      </rPr>
      <t xml:space="preserve">Also see  p. 3.2-25 [PDF 250] of that document. Only Auto travel does not require a modal change; therefore no access or egress times need be added to compute auto travel time.
</t>
    </r>
    <r>
      <rPr>
        <sz val="6.5"/>
        <color indexed="18"/>
        <rFont val="Calibri"/>
        <family val="2"/>
      </rPr>
      <t xml:space="preserve">
"</t>
    </r>
  </si>
  <si>
    <r>
      <rPr>
        <sz val="6.5"/>
        <color theme="1"/>
        <rFont val="Calibri (Body)_x0000_"/>
      </rPr>
      <t>The 15% uplift on an Auto round-trip is reasonable given that: 1) for a one-way trip, Table 1.2-3 p. 1-9 [PDF 82] of Bay Area to Central Valley Final Program EIR/EIS, May, 2008 ( at: http://www.hsr.ca.gov/Programs/Environmental_Planning/bay_area_2008.html) shows that between 2000 and 2030 an Auto trip’s Total Travel Time increases from 2% (Sacramento-San Jose) up to 6.9% for BUR-San Jose, with LA-SF at +5.6%, and 2) Americans lose 0%-30% of their daily commute on road traffic delays. See:</t>
    </r>
    <r>
      <rPr>
        <sz val="6.5"/>
        <color rgb="FF000090"/>
        <rFont val="Calibri"/>
        <family val="2"/>
        <scheme val="minor"/>
      </rPr>
      <t xml:space="preserve"> </t>
    </r>
    <r>
      <rPr>
        <sz val="6.5"/>
        <color rgb="FF0000FF"/>
        <rFont val="Calibri (Body)_x0000_"/>
      </rPr>
      <t xml:space="preserve">http://abcnews.go.com/US/time-americans-waste-traffic/story?id=33313765 </t>
    </r>
  </si>
  <si>
    <r>
      <rPr>
        <sz val="6.5"/>
        <color theme="1"/>
        <rFont val="Calibri"/>
        <family val="2"/>
      </rPr>
      <t>One-way Metrolink LAUS-Anaheim is 42minutes and cost $8.75. See:</t>
    </r>
    <r>
      <rPr>
        <sz val="6.5"/>
        <color indexed="12"/>
        <rFont val="Calibri"/>
        <family val="2"/>
      </rPr>
      <t xml:space="preserve"> http://www.metrolinktrains.com/tripplanner/</t>
    </r>
  </si>
  <si>
    <t>Based on miles used in Independent Determination That the Travel Time Requirements of PROP 1A/AB3034 Cannot Be Met, Paul S. Jones; March 13, 2015.  For  LA-Fresno-Merced added 59 driving miles for Fresno-Merced.</t>
  </si>
  <si>
    <t>Los Angeles-Bakersfield/                                     160miles</t>
  </si>
  <si>
    <t>Los Angeles-KT Hanford/                             223miles</t>
  </si>
  <si>
    <r>
      <t xml:space="preserve">Fight advance purchases found at: </t>
    </r>
    <r>
      <rPr>
        <sz val="6"/>
        <color indexed="12"/>
        <rFont val="Calibri"/>
        <family val="2"/>
      </rPr>
      <t>https://www.kayak.com/flights/</t>
    </r>
    <r>
      <rPr>
        <sz val="6"/>
        <color indexed="18"/>
        <rFont val="Calibri"/>
        <family val="2"/>
      </rPr>
      <t>. See Screen Shots to/from folder</t>
    </r>
  </si>
  <si>
    <r>
      <rPr>
        <b/>
        <sz val="7"/>
        <rFont val="Calibri"/>
        <family val="2"/>
      </rPr>
      <t xml:space="preserve">One-way distances for travelers using HSR and or Authority buses – </t>
    </r>
    <r>
      <rPr>
        <sz val="7"/>
        <rFont val="Calibri"/>
        <family val="2"/>
      </rPr>
      <t>starting  from the Los Angeles Metropolitan area (SCAG) during False Phase 1 - because LA metro area is the largest in California.  Name of Origin and Destination and one-way HSR miles (differ from driving miles) between the stations. Note that HSR miles are often longer than driving miles</t>
    </r>
  </si>
  <si>
    <r>
      <rPr>
        <i/>
        <sz val="8"/>
        <color theme="1"/>
        <rFont val="Calibri"/>
        <family val="2"/>
      </rPr>
      <t>"Unlike common carrier transportation modes (air, bus, or rail), the automobile does not require or depend on intermodal connections to get from the trip origin to the trip destination."</t>
    </r>
    <r>
      <rPr>
        <sz val="8"/>
        <color theme="1"/>
        <rFont val="Calibri"/>
        <family val="2"/>
      </rPr>
      <t xml:space="preserve"> See p. 3.2-25 [PDF 252] of Bay Area to Central Valley Final Program EIR/EIS, May 2008.  All driving distances and driving times are from OC Gateway (Norwalk), or Anaheim Amtrak station or the Burbank Airport (BUR)  to the Amtrak station of each destination, except for Palmdale which starts/ends at City Hall since there is no Amtrak station. Distances and driving times found at:</t>
    </r>
    <r>
      <rPr>
        <sz val="8"/>
        <color indexed="12"/>
        <rFont val="Calibri"/>
        <family val="2"/>
      </rPr>
      <t xml:space="preserve"> https://www.google.com/maps/  </t>
    </r>
  </si>
  <si>
    <r>
      <rPr>
        <sz val="8"/>
        <color theme="1"/>
        <rFont val="Calibri"/>
        <family val="2"/>
        <scheme val="minor"/>
      </rPr>
      <t xml:space="preserve">The analyses of 11 Origins/Destination in the San Joaquin Valley, which includes Sacramento County, are those the Authority’s HSR trains or dedicated buses will serve from 2029-2040 - and where the Authority claims riders and revenues will come from.  They are also places where the Authority will discontinue Amtrak's San Joaquin </t>
    </r>
    <r>
      <rPr>
        <sz val="8"/>
        <color theme="1"/>
        <rFont val="Calibri (Body)_x0000_"/>
      </rPr>
      <t xml:space="preserve">subsidized </t>
    </r>
    <r>
      <rPr>
        <sz val="8"/>
        <color theme="1"/>
        <rFont val="Calibri"/>
        <family val="2"/>
        <scheme val="minor"/>
      </rPr>
      <t>rail service in 2029. [</t>
    </r>
    <r>
      <rPr>
        <i/>
        <sz val="8"/>
        <color theme="1"/>
        <rFont val="Calibri"/>
        <family val="2"/>
        <scheme val="minor"/>
      </rPr>
      <t>“Note that the existing San Joaquin service south of Merced to Bakersfield is assumed to be discontinued upon the initiation of HST service.”</t>
    </r>
    <r>
      <rPr>
        <sz val="8"/>
        <color theme="1"/>
        <rFont val="Calibri"/>
        <family val="2"/>
        <scheme val="minor"/>
      </rPr>
      <t xml:space="preserve">  See: Cambridge Systematics’ (CS) final technical memorandum of Ridership and Revenue Forecasting of April 12, 2012, Section 5.2, p. 5-5 [PDF 37]. T</t>
    </r>
    <r>
      <rPr>
        <sz val="8"/>
        <color theme="1"/>
        <rFont val="Calibri (Body)_x0000_"/>
      </rPr>
      <t>herefore it is important to understand whether these routes are time or cost competitive with Auto or Air</t>
    </r>
    <r>
      <rPr>
        <sz val="8"/>
        <color theme="1"/>
        <rFont val="Calibri"/>
        <family val="2"/>
        <scheme val="minor"/>
      </rPr>
      <t>. Nineteen Counties (or parts of several) define the San Joaquin Valley: Butte, Colusa, Glenn, El Dorado, Fresno, Kings, Madera, Merced, Placer, San Joaquin, Sacramento, Shasta, Solano, Stanislaus, Sutter, Tehama, Tulare, Yuba, Yolo, and the Southern California county of Kern. See:</t>
    </r>
    <r>
      <rPr>
        <sz val="8"/>
        <color theme="1"/>
        <rFont val="Calibri (Body)_x0000_"/>
      </rPr>
      <t xml:space="preserve"> </t>
    </r>
    <r>
      <rPr>
        <sz val="8"/>
        <color rgb="FF0000FF"/>
        <rFont val="Calibri (Body)_x0000_"/>
      </rPr>
      <t xml:space="preserve">https://en.wikipedia.org/wiki/San_Joaquin_Valley </t>
    </r>
  </si>
  <si>
    <r>
      <rPr>
        <sz val="7"/>
        <color theme="1"/>
        <rFont val="Calibri"/>
        <family val="2"/>
      </rPr>
      <t xml:space="preserve">The analyses of 11 Origins/Destination in the San Joaquin Valley, which includes Sacramento County, are those the Authority’s HSR trains or dedicated buses will serve from 2029-2040 - and where the Authority claims riders and revenues will come from.  They are also places where the Authority will discontinue Amtrak's San Joaquin subsidized rail service in 2029. [“Note that the existing San Joaquin service south of Merced to Bakersfield is assumed to be discontinued upon the initiation of HST service.”  See: Cambridge Systematics’ (CS) final technical memorandum of Ridership and Revenue Forecasting of April 12, 2012, Section 5.2, p. 5-5 [PDF 37]. Therefore it is important to understand whether these routes are time or cost competitive with Auto or Air. Nineteen Counties (or parts of several) define the San Joaquin Valley: Butte, Colusa, Glenn, El Dorado, Fresno, Kings, Madera, Merced, Placer, San Joaquin, Sacramento, Shasta, Solano, Stanislaus, Sutter, Tehama, Tulare, Yuba, Yolo, and the Southern California county of Kern. See: </t>
    </r>
    <r>
      <rPr>
        <sz val="7"/>
        <color rgb="FF0000FF"/>
        <rFont val="Calibri"/>
        <family val="2"/>
      </rPr>
      <t xml:space="preserve">https://en.wikipedia.org/wiki/San_Joaquin_Valley 
</t>
    </r>
    <r>
      <rPr>
        <sz val="7"/>
        <color indexed="8"/>
        <rFont val="Calibri"/>
        <family val="2"/>
      </rPr>
      <t xml:space="preserve">
</t>
    </r>
  </si>
  <si>
    <r>
      <rPr>
        <sz val="7"/>
        <color theme="1"/>
        <rFont val="Calibri"/>
        <family val="2"/>
      </rPr>
      <t xml:space="preserve">"The analyses of 11 Origins/Destination in the San Joaquin Valley, which includes Sacramento County, are those the Authority’s HSR trains or dedicated buses will serve from 2029-2040 - and where the Authority claims riders and revenues will come from.  They are also places where the Authority will discontinue Amtrak's San Joaquin subsidized rail service in 2029. [“Note that the existing San Joaquin service south of Merced to Bakersfield is assumed to be discontinued upon the initiation of HST service.”  See: Cambridge Systematics’ (CS) final technical memorandum of Ridership and Revenue Forecasting of April 12, 2012, Section 5.2, p. 5-5 [PDF 37]. Therefore it is important to understand whether these routes are time or cost competitive with Auto or Air. Nineteen Counties (or parts of several) define the San Joaquin Valley: Butte, Colusa, Glenn, El Dorado, Fresno, Kings, Madera, Merced, Placer, San Joaquin, Sacramento, Shasta, Solano, Stanislaus, Sutter, Tehama, Tulare, Yuba, Yolo, and the Southern California county of Kern. See: </t>
    </r>
    <r>
      <rPr>
        <sz val="7"/>
        <color rgb="FF0000FF"/>
        <rFont val="Calibri"/>
        <family val="2"/>
      </rPr>
      <t xml:space="preserve">https://en.wikipedia.org/wiki/San_Joaquin_Valley </t>
    </r>
    <r>
      <rPr>
        <sz val="7"/>
        <color theme="1"/>
        <rFont val="Calibri"/>
        <family val="2"/>
      </rPr>
      <t xml:space="preserve">
"</t>
    </r>
  </si>
  <si>
    <t>Los Angeles-Madera/250miles</t>
  </si>
  <si>
    <r>
      <rPr>
        <i/>
        <sz val="6.5"/>
        <color indexed="8"/>
        <rFont val="Calibri (Body)_x0000_"/>
      </rPr>
      <t>"Unlike common carrier transportation modes (air, bus, or rail), the automobile does not require or depend on intermodal connections to get from the trip origin to the trip destination."</t>
    </r>
    <r>
      <rPr>
        <sz val="6.5"/>
        <color indexed="8"/>
        <rFont val="Calibri (Body)_x0000_"/>
      </rPr>
      <t xml:space="preserve"> See p. 3.2-25 [PDF 252] of Bay Area to Central Valley Final Program EIR/EIS, May 2008.  All driving distances and driving times are from OC Gateway (Norwalk), or Anaheim Amtrak station or the Burbank Airport (BUR)  to the Amtrak station of each destination, except for Palmdale which starts/ends at City Hall since there is no Amtrak station. Distances and driving times found at:</t>
    </r>
    <r>
      <rPr>
        <sz val="6.5"/>
        <color rgb="FF0000FF"/>
        <rFont val="Calibri (Body)_x0000_"/>
      </rPr>
      <t xml:space="preserve"> https://www.google.com/maps/  </t>
    </r>
  </si>
  <si>
    <r>
      <t xml:space="preserve"> </t>
    </r>
    <r>
      <rPr>
        <i/>
        <sz val="6"/>
        <color indexed="8"/>
        <rFont val="Calibri (Body)_x0000_"/>
      </rPr>
      <t xml:space="preserve">“With the exception of the automobile, intercity transportation options require multiple modes to complete a trip.” </t>
    </r>
    <r>
      <rPr>
        <sz val="6"/>
        <color indexed="8"/>
        <rFont val="Calibri (Body)_x0000_"/>
      </rPr>
      <t>See: Volume 1 Bay Area to Central Valley HST Final Program EIR/EIS of 2008 [PDF 224] at:</t>
    </r>
    <r>
      <rPr>
        <sz val="6"/>
        <color rgb="FF0000FF"/>
        <rFont val="Calibri (Body)_x0000_"/>
      </rPr>
      <t xml:space="preserve"> http://www.hsr.ca.gov/Programs/Environmental_Planning/bay_area_2008.html</t>
    </r>
    <r>
      <rPr>
        <sz val="6"/>
        <color indexed="8"/>
        <rFont val="Calibri (Body)_x0000_"/>
      </rPr>
      <t>.  Also see  p. 3.2-25 [PDF 250] of that document. Only Auto travel does not require a modal change; therefore no access or egress times need be added to compute Auto's Total Travel Time.</t>
    </r>
  </si>
  <si>
    <r>
      <t xml:space="preserve">The 15% uplift on an Auto round-trip is reasonable given that: 1) for a one-way trip, Table 1.2-3 p. 1-9 [PDF 82] of Bay Area to Central Valley Final Program EIR/EIS, May, 2008 shows that between 2000 and 2030 an Auto trip’s Total Travel Time increases from 2% (Sacramento-San Jose) up to 6.9% for BUR-San Jose, with LA-SF at +5.6%, and 2) Americans lose 0%-30% of their daily commute on road traffic delays. See: </t>
    </r>
    <r>
      <rPr>
        <sz val="6"/>
        <color rgb="FF0000FF"/>
        <rFont val="Calibri (Body)_x0000_"/>
      </rPr>
      <t xml:space="preserve">http://abcnews.go.com/US/time-americans-waste-traffic/story?id=33313765 </t>
    </r>
  </si>
  <si>
    <t xml:space="preserve">HSR + Other Total Travel Times </t>
  </si>
  <si>
    <t xml:space="preserve">HSR Formula + Other Total Travel Costs </t>
  </si>
  <si>
    <t>LAX-FAT</t>
  </si>
  <si>
    <r>
      <rPr>
        <sz val="6"/>
        <color theme="1"/>
        <rFont val="Calibri"/>
        <family val="2"/>
      </rPr>
      <t>Fight advance purchases found at</t>
    </r>
    <r>
      <rPr>
        <sz val="6"/>
        <color indexed="28"/>
        <rFont val="Calibri"/>
        <family val="2"/>
      </rPr>
      <t xml:space="preserve">: </t>
    </r>
    <r>
      <rPr>
        <sz val="6"/>
        <color rgb="FF0000FF"/>
        <rFont val="Calibri"/>
        <family val="2"/>
      </rPr>
      <t>https://www.kayak.com/flights/</t>
    </r>
    <r>
      <rPr>
        <sz val="6"/>
        <color indexed="28"/>
        <rFont val="Calibri"/>
        <family val="2"/>
      </rPr>
      <t>. S</t>
    </r>
    <r>
      <rPr>
        <sz val="6"/>
        <color theme="1"/>
        <rFont val="Calibri"/>
        <family val="2"/>
      </rPr>
      <t>ee Screen Shots to/from folder</t>
    </r>
  </si>
  <si>
    <t>Los Angeles-Stockton/392miles</t>
  </si>
  <si>
    <t>Burbank (BUR)-Turlock/342miles</t>
  </si>
  <si>
    <r>
      <rPr>
        <b/>
        <sz val="6.5"/>
        <color theme="1"/>
        <rFont val="Calibri"/>
        <family val="2"/>
        <scheme val="minor"/>
      </rPr>
      <t xml:space="preserve">Note: </t>
    </r>
    <r>
      <rPr>
        <sz val="6.5"/>
        <color theme="1"/>
        <rFont val="Calibri"/>
        <family val="2"/>
        <scheme val="minor"/>
      </rPr>
      <t>The $1.00 Authority Bus fares are subsidized: by contrast the Greyhound Sacramento-Merced fare cost $12, not the Authority's $1.00.  See:</t>
    </r>
    <r>
      <rPr>
        <sz val="6.5"/>
        <color rgb="FF0000FF"/>
        <rFont val="Calibri (Body)_x0000_"/>
      </rPr>
      <t xml:space="preserve"> https://www.greyhound.com/en/ecommerce/schedule</t>
    </r>
    <r>
      <rPr>
        <sz val="6.5"/>
        <color rgb="FF0000FF"/>
        <rFont val="Calibri"/>
        <family val="2"/>
        <scheme val="minor"/>
      </rPr>
      <t xml:space="preserve"> </t>
    </r>
    <r>
      <rPr>
        <sz val="6.5"/>
        <color theme="1"/>
        <rFont val="Calibri"/>
        <family val="2"/>
        <scheme val="minor"/>
      </rPr>
      <t xml:space="preserve">				</t>
    </r>
  </si>
  <si>
    <t>LAX-SMF</t>
  </si>
  <si>
    <t xml:space="preserve">Round Trip Travel from the LA Basin (SCAG) to intermediate stops in the San Joaquin Valley (SJV).  </t>
  </si>
  <si>
    <t>One-way distances for travelers using HSR and or Authority buses – starting  from the Los Angeles Metropolitan area (SCAG) during False Phase 1 - because LA metro area is the largest in California.  Name of Origin and Destination and one-way HSR miles (differ from driving miles) between the stations. Note that HSR miles are often longer than driving miles</t>
  </si>
  <si>
    <t xml:space="preserve">One-way distances traveled by an Authority client, including HSR, Authority Bus and other transport.  These trips are to the San Francisco Peninsula (MTC’s - SF, San Mateo and Santa Clara counties – total population is ±3.5million) during False Phase 1 - becauseSan Jose is the state’s third largest city, San Francisco is CA’s 4th largest, and SF is its second most densely populated. Millbrae and Gilroy also served by HSR and are part of the three Peninsula counties. Name of Origin and Destination and one-way HSR miles between the stations. Note that HSR miles are often longer than driving miles  </t>
  </si>
  <si>
    <r>
      <rPr>
        <sz val="7"/>
        <color theme="1"/>
        <rFont val="Calibri"/>
        <family val="2"/>
      </rPr>
      <t xml:space="preserve">The analyses of 11 Origins/Destination in the San Joaquin Valley, which includes Sacramento County, are those the Authority’s HSR trains or dedicated buses will serve from 2029-2040 - and where the Authority claims riders and revenues will come from.  They are also places where the Authority will discontinue Amtrak's San Joaquin subsidized rail service in 2029. </t>
    </r>
    <r>
      <rPr>
        <i/>
        <sz val="7"/>
        <color theme="1"/>
        <rFont val="Calibri"/>
        <family val="2"/>
      </rPr>
      <t>[“Note that</t>
    </r>
    <r>
      <rPr>
        <sz val="7"/>
        <color theme="1"/>
        <rFont val="Calibri"/>
        <family val="2"/>
      </rPr>
      <t xml:space="preserve"> </t>
    </r>
    <r>
      <rPr>
        <i/>
        <sz val="7"/>
        <color theme="1"/>
        <rFont val="Calibri"/>
        <family val="2"/>
      </rPr>
      <t>the existing San Joaquin service south of Merced to Bakersfield is assumed to be discontinued upon the initiation of HST service.</t>
    </r>
    <r>
      <rPr>
        <sz val="7"/>
        <color theme="1"/>
        <rFont val="Calibri"/>
        <family val="2"/>
      </rPr>
      <t xml:space="preserve">”  See: Cambridge Systematics’ (CS) final technical memorandum of Ridership and Revenue Forecasting of April 12, 2012, Section 5.2, p. 5-5 [PDF 37]. Therefore it is important to understand whether these routes are time or cost competitive with Auto or Air. Nineteen Counties (or parts of several) define the San Joaquin Valley: Butte, Colusa, Glenn, El Dorado, Fresno, Kings, Madera, Merced, Placer, San Joaquin, Sacramento, Shasta, Solano, Stanislaus, Sutter, Tehama, Tulare, Yuba, Yolo, and the Southern California county of Kern. See: </t>
    </r>
    <r>
      <rPr>
        <sz val="7"/>
        <color rgb="FF0000FF"/>
        <rFont val="Calibri"/>
        <family val="2"/>
      </rPr>
      <t xml:space="preserve">https://en.wikipedia.org/wiki/San_Joaquin_Valley </t>
    </r>
  </si>
  <si>
    <r>
      <t xml:space="preserve"> </t>
    </r>
    <r>
      <rPr>
        <i/>
        <sz val="6"/>
        <color indexed="8"/>
        <rFont val="Calibri (Body)_x0000_"/>
      </rPr>
      <t xml:space="preserve">“With the exception of the automobile, intercity transportation options require multiple modes to complete a trip.” </t>
    </r>
    <r>
      <rPr>
        <sz val="6"/>
        <color indexed="8"/>
        <rFont val="Calibri (Body)_x0000_"/>
      </rPr>
      <t>See: Volume 1 Bay Area to Central Valley HST Final Program EIR/EIS of 2008 [PDF 224] at:</t>
    </r>
    <r>
      <rPr>
        <i/>
        <sz val="6"/>
        <color rgb="FF0070C0"/>
        <rFont val="Calibri (Body)_x0000_"/>
      </rPr>
      <t xml:space="preserve"> </t>
    </r>
    <r>
      <rPr>
        <i/>
        <sz val="6"/>
        <color rgb="FF0000FF"/>
        <rFont val="Calibri (Body)_x0000_"/>
      </rPr>
      <t>http://www.hsr.ca.gov/Programs/Environmental_Planning/bay_area_2008.html</t>
    </r>
    <r>
      <rPr>
        <i/>
        <sz val="6"/>
        <color rgb="FF0070C0"/>
        <rFont val="Calibri (Body)_x0000_"/>
      </rPr>
      <t xml:space="preserve">. </t>
    </r>
    <r>
      <rPr>
        <sz val="6"/>
        <color indexed="8"/>
        <rFont val="Calibri (Body)_x0000_"/>
      </rPr>
      <t xml:space="preserve"> Also see  p. 3.2-25 [PDF 250] of that document.  Only Auto travel does not require a modal change; therefore no access or egress times need be added to compute Auto's Total Travel Time.</t>
    </r>
  </si>
  <si>
    <t>San Francisco-Madera/168miles</t>
  </si>
  <si>
    <t>SFO-FAT</t>
  </si>
  <si>
    <t>SFO - FAT</t>
  </si>
  <si>
    <t>San Francisco-Fresno/199miles</t>
  </si>
  <si>
    <r>
      <t xml:space="preserve">The analyses of Origins/Destination in the San Joaquin Valley, which includes Sacramento County, are those the Authority’s HSR trains or dedicated buses will serve from 2029-2040 - and where the Authority claims riders and revenues will come from.  They are also places where the Authority will discontinue Amtrak's San Joaquin subsidized rail service in 2029. </t>
    </r>
    <r>
      <rPr>
        <i/>
        <sz val="7"/>
        <color theme="1"/>
        <rFont val="Calibri"/>
        <family val="2"/>
      </rPr>
      <t xml:space="preserve">[“Note that the existing San Joaquin service south of Merced to Bakersfield is assumed to be discontinued upon the initiation of HST service.” </t>
    </r>
    <r>
      <rPr>
        <sz val="7"/>
        <color theme="1"/>
        <rFont val="Calibri"/>
        <family val="2"/>
      </rPr>
      <t xml:space="preserve"> See: Cambridge Systematics’ (CS) final technical memorandum of Ridership and Revenue Forecasting of April 12, 2012, Section 5.2, p. 5-5 [PDF 37]. Therefore it is important to understand whether these routes are time or cost competitive with Auto or Air. Nineteen Counties (or parts of several) define the San Joaquin Valley: Butte, Colusa, Glenn, El Dorado, Fresno, Kings, Madera, Merced, Placer, San Joaquin, Sacramento, Shasta, Solano, Stanislaus, Sutter, Tehama, Tulare, Yuba, Yolo, and the Southern California county of Kern. See: </t>
    </r>
    <r>
      <rPr>
        <sz val="7"/>
        <color rgb="FF0000FF"/>
        <rFont val="Calibri"/>
        <family val="2"/>
      </rPr>
      <t xml:space="preserve">https://en.wikipedia.org/wiki/San_Joaquin_Valley </t>
    </r>
    <r>
      <rPr>
        <sz val="7"/>
        <color theme="1"/>
        <rFont val="Calibri"/>
        <family val="2"/>
      </rPr>
      <t xml:space="preserve">
</t>
    </r>
  </si>
  <si>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Driving distances and times are measured from Gilroy's Amtrak station, the San Francisco TransBay Terminal (101 First St. SF) or Millbrae's Caltrain/BART station to San Joaquin Valley destinaton cities' Amtrak stations.  All found at</t>
    </r>
    <r>
      <rPr>
        <sz val="7"/>
        <color rgb="FF0000FF"/>
        <rFont val="Calibri"/>
        <family val="2"/>
      </rPr>
      <t>: https://www.google.com/maps/</t>
    </r>
  </si>
  <si>
    <t xml:space="preserve">One-way distances traveled by an Authority client, including HSR, Authority Bus and other publictransport. Travel is from the San Francisco Peninsula (MTC’s SF, San Mateo and Santa Clara counties – total population is ±3.5million) during False Phase 1 - because the San Jose is CA’s third largest city, San Francisco is CA’s 4th largest, and SF is CA's second most densely populated. Millbrae and Gilroy also served by HSR and are part of the three Peninsula counties. Name of Origin and Destination and one-way HSR miles between the stations. Note that HSR miles are often longer than driving miles  </t>
  </si>
  <si>
    <r>
      <t>The 15% uplift on an Auto round-trip is reasonable given that: 1) for a one-way trip, Table 1.2-3 p. 1-9 [PDF 82] of Bay Area to Central Valley Final Program EIR/EIS, May, 2008 ( at: http://www.hsr.ca.gov/Programs/Environmental_Planning/bay_area_2008.html) shows that between 2000 and 2030 an Auto trip’s Total Travel Time increases from 2% (Sacramento-San Jose) up to 6.9% for BUR-San Jose, with LA-SF at +5.6%, and 2) Americans lose 0%-30% of their daily commute on road traffic delays. See:</t>
    </r>
    <r>
      <rPr>
        <sz val="6"/>
        <color rgb="FF0000FF"/>
        <rFont val="Calibri (Body)_x0000_"/>
      </rPr>
      <t xml:space="preserve"> http://abcnews.go.com/US/time-americans-waste-traffic/story?id=33313765 </t>
    </r>
  </si>
  <si>
    <r>
      <rPr>
        <i/>
        <sz val="6"/>
        <color theme="1"/>
        <rFont val="Calibri"/>
        <family val="2"/>
      </rPr>
      <t>With the exception of the automobile, intercity transportation options require multiple modes to complete a trip.”</t>
    </r>
    <r>
      <rPr>
        <sz val="6"/>
        <color theme="1"/>
        <rFont val="Calibri"/>
        <family val="2"/>
      </rPr>
      <t xml:space="preserve"> _x000B_See: Volume 1 Bay Area to Central Valley HST Final Program EIR/EIS of 2008 [PDF 224] at</t>
    </r>
    <r>
      <rPr>
        <sz val="6"/>
        <color rgb="FF0000FF"/>
        <rFont val="Calibri"/>
        <family val="2"/>
      </rPr>
      <t>: http://www.hsr.ca.gov/Programs/Environmental_Planning/bay_area_2008.html.</t>
    </r>
    <r>
      <rPr>
        <sz val="6"/>
        <color indexed="18"/>
        <rFont val="Calibri"/>
        <family val="2"/>
      </rPr>
      <t xml:space="preserve">  </t>
    </r>
    <r>
      <rPr>
        <sz val="6"/>
        <color theme="1"/>
        <rFont val="Calibri"/>
        <family val="2"/>
      </rPr>
      <t>Also see  p. 3.2-25 [PDF 250] of that document.  Only Auto travel does not require a modal change; therefore no access or egress times need be added to compute auto travel time.</t>
    </r>
  </si>
  <si>
    <r>
      <rPr>
        <sz val="6"/>
        <color theme="1"/>
        <rFont val="Calibri"/>
        <family val="2"/>
      </rPr>
      <t xml:space="preserve">The 15% uplift on an Auto round-trip is reasonable given that: 1) for a one-way trip, Table 1.2-3 p. 1-9 [PDF 82] of Bay Area to Central Valley Final Program EIR/EIS, May, 2008 ( at: http://www.hsr.ca.gov/Programs/Environmental_Planning/bay_area_2008.html) shows that between 2000 and 2030 an Auto trip’s Total Travel Time increases from 2% (Sacramento-San Jose) up to 6.9% for BUR-San Jose, with LA-SF at +5.6%, and 2) Americans lose 0%-30% of their daily commute on road traffic delays. See: </t>
    </r>
    <r>
      <rPr>
        <sz val="6"/>
        <color rgb="FF0000FF"/>
        <rFont val="Calibri"/>
        <family val="2"/>
      </rPr>
      <t xml:space="preserve">http://abcnews.go.com/US/time-americans-waste-traffic/story?id=33313765 </t>
    </r>
    <r>
      <rPr>
        <sz val="6"/>
        <color theme="1"/>
        <rFont val="Calibri"/>
        <family val="2"/>
      </rPr>
      <t xml:space="preserve">
</t>
    </r>
    <r>
      <rPr>
        <sz val="6"/>
        <color indexed="18"/>
        <rFont val="Calibri"/>
        <family val="2"/>
      </rPr>
      <t xml:space="preserve">
</t>
    </r>
  </si>
  <si>
    <t>False Phase 1:              Pre-HSR transportation Transfer Times: Does not include access times to HSR stations  (minutes)</t>
  </si>
  <si>
    <t xml:space="preserve">False Phase 1:    Tansfer times piror to starting HSR-inclusive travel (minutes) </t>
  </si>
  <si>
    <t xml:space="preserve">Based on miles used in Independent Determination That the Travel Time Requirements of PROP 1A/AB3034 Cannot Be Met, Paul S. Jones; March 13, 2015. </t>
  </si>
  <si>
    <t>SJC-FAT</t>
  </si>
  <si>
    <t>San Francisco-KT Hanford/243miles</t>
  </si>
  <si>
    <t>False Phase 1: Transfer Time for HSR ride to Merced after HSR ride to Fresno (minutes)</t>
  </si>
  <si>
    <t>False Phase 1:    HSR Run Times from Millbrae, Gilroy, SFTBT or  San Jose to Merced, KT Hanford and Bakersfield (minutes)</t>
  </si>
  <si>
    <t xml:space="preserve">Fares are from Table 2.2, p. 2-5 [PDF 25] of the  2018  Plan's Ridership and Revenue Forecasting, Technical Supporting Document. 
</t>
  </si>
  <si>
    <t xml:space="preserve"> SFO-FAT</t>
  </si>
  <si>
    <t xml:space="preserve">Elements of High-Speed Rail Total Travel Times Arranged Sequentially    .        </t>
  </si>
  <si>
    <t>San Francisco-Merced/202miles</t>
  </si>
  <si>
    <t>San Francisco-Turlock/230miles</t>
  </si>
  <si>
    <t>San Francisco-Modesto/245miles</t>
  </si>
  <si>
    <t>False Phase 1:             One-Way HSR fares between Origin and Madera</t>
  </si>
  <si>
    <r>
      <rPr>
        <sz val="6"/>
        <color theme="1"/>
        <rFont val="Calibri"/>
        <family val="2"/>
      </rPr>
      <t xml:space="preserve">See p. 2-6[PDF 26] of 2018 Business Plan, Ridership and Revenue Forecasting, Technical Supporting Document that says </t>
    </r>
    <r>
      <rPr>
        <i/>
        <sz val="6"/>
        <color theme="1"/>
        <rFont val="Calibri"/>
        <family val="2"/>
      </rPr>
      <t xml:space="preserve">"$1 from Stockton/Modesto/Denair/Merced/Madera/Fresno Amtrak to Madera." "Note: The $1.00 Authority Bus fares are subsidized: by contrast the Greyhound Sacramento-Merced farecost $12, not the Authority's $1.00.  See: </t>
    </r>
    <r>
      <rPr>
        <i/>
        <sz val="6"/>
        <color rgb="FF0000FF"/>
        <rFont val="Calibri"/>
        <family val="2"/>
      </rPr>
      <t xml:space="preserve">https://www.greyhound.com/en/ecommerce/schedule 	</t>
    </r>
    <r>
      <rPr>
        <i/>
        <sz val="6"/>
        <color theme="1"/>
        <rFont val="Calibri"/>
        <family val="2"/>
      </rPr>
      <t xml:space="preserve">			"
</t>
    </r>
  </si>
  <si>
    <t>Round-Trip Travel to/from the San Francisco Peninsula (MTC’s SF, San Mateo and Santa Clara counties – total population is ±3.5million - because the San Jose is CA’s third largest city, San Francisco is CA’s 4th largest, and SF is CA's second most densely populated. Millbrae and Gilroy also served by HSR and are part of the three Peninsula counties. Also analyzed because the Authority claims revenue derived from HSR operating  to/from SJV during False Phase 1</t>
  </si>
  <si>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See p. 3.2-25 [PDF 252] of Bay Area to Central Valley Final Program EIR/EIS, May, 2008.  Driving distances and times are measured from Oakland's 12th St. City Center BART station, to Sacramento or San Joaquin Valley destinaton cities' Amtrak stations.  All found at</t>
    </r>
    <r>
      <rPr>
        <sz val="7"/>
        <color indexed="18"/>
        <rFont val="Calibri"/>
        <family val="2"/>
      </rPr>
      <t>:</t>
    </r>
    <r>
      <rPr>
        <sz val="7"/>
        <color indexed="12"/>
        <rFont val="Calibri"/>
        <family val="2"/>
      </rPr>
      <t xml:space="preserve"> https://www.google.com/maps/</t>
    </r>
  </si>
  <si>
    <r>
      <rPr>
        <sz val="6"/>
        <color theme="1"/>
        <rFont val="Calibri"/>
        <family val="2"/>
      </rPr>
      <t>The 12th St. Oakland Center to Embarcadero BART line takes 12minutes and costs $3.45. Found at:</t>
    </r>
    <r>
      <rPr>
        <sz val="6"/>
        <color indexed="12"/>
        <rFont val="Calibri"/>
        <family val="2"/>
      </rPr>
      <t xml:space="preserve"> http://www.bart.gov/tickets/calculator.</t>
    </r>
    <r>
      <rPr>
        <sz val="6"/>
        <color theme="1"/>
        <rFont val="Calibri"/>
        <family val="2"/>
      </rPr>
      <t xml:space="preserve"> There are no prior-to-HSR-travel in these calculations</t>
    </r>
  </si>
  <si>
    <r>
      <t xml:space="preserve">The 12th St. Oakland Center to Embarcadero BART line takes 12minutes and costs $3.45. Found at: </t>
    </r>
    <r>
      <rPr>
        <sz val="6"/>
        <color rgb="FF0000FF"/>
        <rFont val="Calibri"/>
        <family val="2"/>
      </rPr>
      <t>http://www.bart.gov/tickets/calculator</t>
    </r>
    <r>
      <rPr>
        <sz val="6"/>
        <color theme="1"/>
        <rFont val="Calibri"/>
        <family val="2"/>
      </rPr>
      <t>. There are no prior-to-HSR-travel in these calculations</t>
    </r>
  </si>
  <si>
    <r>
      <t xml:space="preserve">See p. 2-6 [PDF 26] of 2018 Business Plan, Ridership and Revenue Forecasting, Technical Supporting Document that says </t>
    </r>
    <r>
      <rPr>
        <i/>
        <sz val="6"/>
        <color theme="1"/>
        <rFont val="Calibri"/>
        <family val="2"/>
        <scheme val="minor"/>
      </rPr>
      <t>"$10 from Sacramento, Elk Grove and Lodi to Madera." </t>
    </r>
  </si>
  <si>
    <t>Oakland--Sacramento/324miles</t>
  </si>
  <si>
    <t>Oakland-Merced/268miles</t>
  </si>
  <si>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All driving miles and times are measured from Fresno, Merced, Bakersfield or Hanford Stations  to the Amtrak station in each destination city.  All found at</t>
    </r>
    <r>
      <rPr>
        <sz val="7"/>
        <color indexed="17"/>
        <rFont val="Calibri"/>
        <family val="2"/>
      </rPr>
      <t xml:space="preserve">: </t>
    </r>
    <r>
      <rPr>
        <sz val="7"/>
        <color indexed="12"/>
        <rFont val="Calibri"/>
        <family val="2"/>
      </rPr>
      <t>https://www.google.com/maps/</t>
    </r>
  </si>
  <si>
    <t>Madera-Merced requires a 15minute transfer time and a 15minute HSR ride to Merced.  See Table A.2.1, p. A-2 [PDF 62] of the 2016 Business Plan, Ridership and Revenue Forecasting, Technical Supporting Document.</t>
  </si>
  <si>
    <t>Based on Independent Determination That the Travel Time Requirements of PROP 1A/AB3034 Cannot Be Met, Paul S. Jones; March 13, 2015. No other column counts the HSR costs of Merced-Fresno by HSR, therefore 59miles is added for Merced-Fresno.</t>
  </si>
  <si>
    <t xml:space="preserve">One-way distances traveled by an Authority client, including HSR, Authority Bus and other public transport.Travel is from the the San Joaquin Valley (SJV Region) during False Phase 1 because Fresno is CA's fifth largest city.  Name of Origin and Destination and one-way HSR miles between the stations. Note that HSR miles are often longer than driving miles  </t>
  </si>
  <si>
    <r>
      <t xml:space="preserve">The analyses of 11 Origins/Destination in the San Joaquin Valley, which includes Sacramento County, are those the Authority’s HSR trains or dedicated buses will serve from 2029-2040 - and where the Authority claims riders and revenues will come from.  They are also places where the Authority will discontinue Amtrak's San Joaquin subsidized rail service in 2029. </t>
    </r>
    <r>
      <rPr>
        <i/>
        <sz val="7"/>
        <color theme="1"/>
        <rFont val="Calibri"/>
        <family val="2"/>
      </rPr>
      <t xml:space="preserve">[“Note that the existing San Joaquin service south of Merced to Bakersfield is assumed to be discontinued upon the initiation of HST service.” </t>
    </r>
    <r>
      <rPr>
        <sz val="7"/>
        <color theme="1"/>
        <rFont val="Calibri"/>
        <family val="2"/>
      </rPr>
      <t xml:space="preserve"> See: Cambridge Systematics’ (CS) final technical memorandum of Ridership and Revenue Forecasting of April 12, 2012, Section 5.2, p. 5-5 [PDF 37]. Therefore it is important to understand whether these routes are time or cost competitive with Auto or Air. Nineteen Counties (or parts of several) define the San Joaquin Valley: Butte, Colusa, Glenn, El Dorado, Fresno, Kings, Madera, Merced, Placer, San Joaquin, Sacramento, Shasta, Solano, Stanislaus, Sutter, Tehama, Tulare, Yuba, Yolo, and the Southern California county of Kern. See: </t>
    </r>
    <r>
      <rPr>
        <sz val="7"/>
        <color rgb="FF0000FF"/>
        <rFont val="Calibri"/>
        <family val="2"/>
      </rPr>
      <t xml:space="preserve">https://en.wikipedia.org/wiki/San_Joaquin_Valley </t>
    </r>
    <r>
      <rPr>
        <sz val="7"/>
        <color theme="1"/>
        <rFont val="Calibri"/>
        <family val="2"/>
      </rPr>
      <t xml:space="preserve">
</t>
    </r>
  </si>
  <si>
    <r>
      <rPr>
        <i/>
        <sz val="7"/>
        <color theme="1"/>
        <rFont val="Calibri (Body)_x0000_"/>
      </rPr>
      <t>"Unlike common carrier transportation modes (air, bus, or rail), the automobile does not require or depend on intermodal connections to get from the trip origin to the trip destination.</t>
    </r>
    <r>
      <rPr>
        <sz val="7"/>
        <color theme="1"/>
        <rFont val="Calibri (Body)_x0000_"/>
      </rPr>
      <t>" See p. 3.2-25 [PDF 252] of Bay Area to Central Valley Final Program EIR/EIS, May, 2008.  All driving miles and times are measured from Kings Tulare (Hanford), Merced, Fresno,and Bakersfield stations to the Amtrak station in each destination city.  All found at:</t>
    </r>
    <r>
      <rPr>
        <sz val="7"/>
        <color rgb="FF0000FF"/>
        <rFont val="Calibri (Body)_x0000_"/>
      </rPr>
      <t xml:space="preserve"> https://www.google.com/maps/</t>
    </r>
  </si>
  <si>
    <t>Since there is no through-train between Merced and San Francisco, the Merced-Madera HSR link requires a 15minute transfer time and a 15minute HSR ride to Madera, then another 15minute Transfer Time.  See Table A.2.1, p. A-2 [PDF 62] of the 2016 Business Plan, Ridership and Revenue Forecasting, Technical Supporting Document.</t>
  </si>
  <si>
    <t>Madera-San Francisco Run Time is 66minutes from Madera to San Jose, then 41minutes San Jose-SFTBT. See Appendix  A2, A2.2 p. A-2 [PDF 62] of 2018  Ridership and Revenue Forecasting, Techical Supporting Document.</t>
  </si>
  <si>
    <r>
      <t xml:space="preserve">Based on </t>
    </r>
    <r>
      <rPr>
        <sz val="6"/>
        <color theme="1"/>
        <rFont val="Calibri (Body)"/>
      </rPr>
      <t>Independent Determination That the Travel Time Requirements of PROP 1A/AB3034 Cannot Be Met</t>
    </r>
    <r>
      <rPr>
        <sz val="6"/>
        <color theme="1"/>
        <rFont val="Verdana"/>
        <family val="2"/>
      </rPr>
      <t xml:space="preserve">, Paul S. Jones; March 13, 2015. No other column counts the HSR costs of Merced-Madera by HSR, therefore 33miles is added for Madera-Merced. </t>
    </r>
  </si>
  <si>
    <t>BFL - SJC</t>
  </si>
  <si>
    <t>False Phase 1:            HSR Run times including  Merced to Madera</t>
  </si>
  <si>
    <t>Bakersfield-San Francisco/306miles</t>
  </si>
  <si>
    <t>Merced-Los Angeles/326miles</t>
  </si>
  <si>
    <t>False Phase 1:   Transfer Time after prior HSR Merced-Madera ride (minutes)</t>
  </si>
  <si>
    <t>False Phase 1:            HSR Run Time Madera-San Jose  (minutes)</t>
  </si>
  <si>
    <t>False Phase 1: Transfer Time for another HSR ride San Jose-Millbrae  (minutes)</t>
  </si>
  <si>
    <t>Run Times from Appendix  A2, A2.2 p. A-2 [PDF 62] of 2018  Ridership and Revenue Forecasting, Techical Supporting Document. Passengers on southbound trains from Merced are assumed to not need to change trains, while westbound to MTC passengers must change in Madera.</t>
  </si>
  <si>
    <t>Run Times from Appendix  A2, A2.2 p. A-2 [PDF 62] of 2018  Ridership and Revenue Forecasting, Techical Supporting Document. Passengers from Merced must again change trains, this time in San Jose to ride to Millbrae.</t>
  </si>
  <si>
    <t xml:space="preserve">Fares are from Table 2.2, p. 2-5 [PDF 25] of the  2018  Plan's Ridership and Revenue Forecasting, Techical Supporting Document. While the traveler must change stations in Madera for MTC destinations, such as Gilroy, San Jose, Millbrae and SFTBT, we use the Table 2.2 fare designations.
</t>
  </si>
  <si>
    <r>
      <rPr>
        <sz val="7"/>
        <color theme="1"/>
        <rFont val="Calibri (Body)_x0000_"/>
      </rPr>
      <t>Nineteen Counties (or parts of several) define the San Joaquin Valley: Butte, Colusa, Glenn, El Dorado, Fresno, Kings, Madera, Merced, Placer, San Joaquin, Sacramento, Shasta, Solano, Stanislaus, Sutter, Tehama, Tulare, Yuba, Yolo, and the Southern California county of Kern. See</t>
    </r>
    <r>
      <rPr>
        <sz val="7"/>
        <color rgb="FF000090"/>
        <rFont val="Calibri (Body)_x0000_"/>
      </rPr>
      <t>:</t>
    </r>
    <r>
      <rPr>
        <sz val="7"/>
        <color rgb="FFFF0000"/>
        <rFont val="Calibri"/>
        <family val="2"/>
        <scheme val="minor"/>
      </rPr>
      <t xml:space="preserve"> </t>
    </r>
    <r>
      <rPr>
        <sz val="7"/>
        <color rgb="FF0000FF"/>
        <rFont val="Calibri (Body)_x0000_"/>
      </rPr>
      <t xml:space="preserve">https://en.wikipedia.org/wiki/San_Joaquin_Valley </t>
    </r>
    <r>
      <rPr>
        <sz val="7"/>
        <color rgb="FF0000FF"/>
        <rFont val="Calibri"/>
        <family val="2"/>
        <scheme val="minor"/>
      </rPr>
      <t xml:space="preserve"> </t>
    </r>
    <r>
      <rPr>
        <sz val="7"/>
        <color theme="1"/>
        <rFont val="Calibri (Body)_x0000_"/>
      </rPr>
      <t>Three of these routes of Sacramento Origin routes (Sac-Merced), Sac-KT Hanford amd Sac-Madera) might be declared as Intra-Regional Routes because Sacramento County is considered part of the San Joaquin Valley.  However, they are placed here because the Authority separates Sacramento in its ridership and revenue analyses into a category of Sacramento Area Council of Governments (SACOG0.  See: Table 5.3 p. 5-5 [PDF 41] of the 2018 Ridership and Revenue Forecasting, Technical Supporting Document (June 2018)</t>
    </r>
  </si>
  <si>
    <r>
      <rPr>
        <sz val="7"/>
        <color theme="1"/>
        <rFont val="Calibri"/>
        <family val="2"/>
      </rPr>
      <t xml:space="preserve">"Unlike common carrier transportation modes (air, bus, or rail), the automobile does not require or depend on intermodal connections to get from the trip origin to the trip destination." See p. 3.2-25 [PDF 252] of Bay Area to Central Valley Final Program EIR/EIS, May, 2008.  All driving miles and times are between Sacramento's Amtrak station and destination cities' Amtrak stations. Driving miles and times are found at: </t>
    </r>
    <r>
      <rPr>
        <sz val="7"/>
        <color rgb="FF0000FF"/>
        <rFont val="Calibri"/>
        <family val="2"/>
      </rPr>
      <t>https://www.google.com/maps/.</t>
    </r>
    <r>
      <rPr>
        <sz val="7"/>
        <color theme="1"/>
        <rFont val="Calibri"/>
        <family val="2"/>
      </rPr>
      <t xml:space="preserve">  Since there is no direct HSR service between Merced and the SF Bay Area( MTC), to go from Sacramento to any point in the SF Bay Area requires changing in Fresno from an HSR train originating in Merced to go westward to MTC. No HSR mileage is given for Sacramento-MTC, therefore mileage is the 172miles of Sacramento-Fresno, then Fresno to Gilroy, San Jose, Millbrae and SFTBT miles the traveler must go when using HSR's train and bus.</t>
    </r>
  </si>
  <si>
    <t xml:space="preserve">Authority Dedicated Bus Run Times are from Appendix  A2, A2.1, p. A-2 [PDF 62] of 2018  Ridership and Revenue Forecasting, Techical Supporting Document.  </t>
  </si>
  <si>
    <t>HSR Run Times from Appendix  A2, A2.2 p. A-2 [PDF 62] of 2018  Ridership and Revenue Forecasting, Techical Supporting Document.</t>
  </si>
  <si>
    <r>
      <t xml:space="preserve">See </t>
    </r>
    <r>
      <rPr>
        <i/>
        <sz val="6"/>
        <color theme="1"/>
        <rFont val="Calibri"/>
        <family val="2"/>
      </rPr>
      <t>"Transfer Time at Merced  15"</t>
    </r>
    <r>
      <rPr>
        <sz val="6"/>
        <color theme="1"/>
        <rFont val="Calibri"/>
        <family val="2"/>
      </rPr>
      <t xml:space="preserve"> in Appendix  A2, A2.1 p. A-2 [PDF 62] of 2018  Ridership and Revenue Forecasting, Techical Supporting Document. </t>
    </r>
  </si>
  <si>
    <r>
      <t xml:space="preserve">See p. 2-6 [PDF 26] of 2018 Business Plan, Ridership and Revenue Forecasting, Technical Supporting Document that says </t>
    </r>
    <r>
      <rPr>
        <i/>
        <sz val="6"/>
        <color theme="1"/>
        <rFont val="Calibri"/>
        <family val="2"/>
      </rPr>
      <t>"$10 from Sacramento, Elk Grove and Lodi to Madera." </t>
    </r>
    <r>
      <rPr>
        <sz val="6"/>
        <color theme="1"/>
        <rFont val="Calibri"/>
        <family val="2"/>
      </rPr>
      <t xml:space="preserve">No Dedicated Bus fare is given for Sacramento-Merced, so Authors assumed $10. However, Greyhound charges  $25 for a one-way ticket on that route, meaning the Authority fare is subsidized. See: https://www.greyhound.com/en/ecommerce/schedule
</t>
    </r>
  </si>
  <si>
    <r>
      <rPr>
        <b/>
        <sz val="7"/>
        <color theme="1"/>
        <rFont val="Calibri"/>
        <family val="2"/>
      </rPr>
      <t xml:space="preserve">Note: </t>
    </r>
    <r>
      <rPr>
        <sz val="7"/>
        <color theme="1"/>
        <rFont val="Calibri"/>
        <family val="2"/>
      </rPr>
      <t>The $10.00 one-way Sacramento-Merced Authority Bus fares are subsidized.  For example,  Greyhound's  Sacramento-Merced fare cost $26, not the Authority's $10. The Authority's $1.00 Merced-Madera fare would cost $12 if on Greyhound.</t>
    </r>
    <r>
      <rPr>
        <sz val="7"/>
        <color indexed="18"/>
        <rFont val="Calibri"/>
        <family val="2"/>
      </rPr>
      <t xml:space="preserve"> See:</t>
    </r>
    <r>
      <rPr>
        <sz val="7"/>
        <color rgb="FF0000FF"/>
        <rFont val="Calibri"/>
        <family val="2"/>
      </rPr>
      <t xml:space="preserve"> https://www.greyhound.com/en/ecommerce/schedule </t>
    </r>
  </si>
  <si>
    <t>There is no planned HSR or Authority Bus service planned to fill the gap between the LA Basin and California's 3rd most populated region.</t>
  </si>
  <si>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All driving miles and times are measured from San Diego's Santa Fe Station (1050 Ketner Blvd) to the Amtrak station at each destination except for Burbank Airport (BUR) and Palmdale City Hall (no Amtrak station). All found at:</t>
    </r>
    <r>
      <rPr>
        <sz val="7"/>
        <color indexed="17"/>
        <rFont val="Calibri"/>
        <family val="2"/>
      </rPr>
      <t xml:space="preserve"> </t>
    </r>
    <r>
      <rPr>
        <sz val="7"/>
        <color indexed="12"/>
        <rFont val="Calibri"/>
        <family val="2"/>
      </rPr>
      <t>https://www.google.com/maps/</t>
    </r>
  </si>
  <si>
    <t>False Phase 1: Transfer Time for northbound Amtrak Pacific Surliner at 1050 Kettner Blvid, San Diego; does not include access to HSR station times (minutes)</t>
  </si>
  <si>
    <t>False Phase 1:   Transfer time in LAUS or BUR to catch  Amtrak or Metrolink (minutes)</t>
  </si>
  <si>
    <t>San Diego-Burbank (BUR)/126miles</t>
  </si>
  <si>
    <t>San Diego-Los Angeles/120miles</t>
  </si>
  <si>
    <r>
      <t>See: Independent Determination That the Travel Time Requirements of PROP 1A/AB3034 Cannot Be Met, Paul S. Jones; March 13, 2015. Because his analyses did not include the Madera-Merced distance, 33driving miles, found at</t>
    </r>
    <r>
      <rPr>
        <sz val="6"/>
        <color rgb="FF0000FF"/>
        <rFont val="Calibri (Body)_x0000_"/>
      </rPr>
      <t xml:space="preserve"> https://www.google.com/maps/ </t>
    </r>
    <r>
      <rPr>
        <sz val="6"/>
        <color theme="1"/>
        <rFont val="Calibri"/>
        <family val="2"/>
        <scheme val="minor"/>
      </rPr>
      <t>are added for that distance</t>
    </r>
  </si>
  <si>
    <r>
      <rPr>
        <sz val="6"/>
        <color theme="1"/>
        <rFont val="Calibri (Body)"/>
      </rPr>
      <t>See: Independent Determination That the Travel Time Requirements of PROP 1A/AB3034 Cannot Be Met, Paul S. Jones; March 13, 2015. Because his analyses did not include the Madera-Merced distance, 33driving miles, found at:</t>
    </r>
    <r>
      <rPr>
        <sz val="6"/>
        <color theme="1"/>
        <rFont val="Verdana"/>
        <family val="2"/>
      </rPr>
      <t xml:space="preserve"> https://www.google.com/maps/ are added for that distance</t>
    </r>
  </si>
  <si>
    <t xml:space="preserve"> One-way distances traveled by an Authority client, including HSR, Authority Bus and other public transport. Travel starts from San Diego's Santa Fe Station during False Phase 1 because San Diego County (SANDAG) is the e 3rd most populated metro area in California. Name of Origin and Destination and one-way HSR miles between the stations. Mileage from San Diego to LA and Anaheim are driving miles as no HSR runs on those routes. HSR miles are often longer than driving miles     </t>
  </si>
  <si>
    <r>
      <rPr>
        <i/>
        <sz val="7"/>
        <color theme="1"/>
        <rFont val="Calibri (Body)_x0000_"/>
      </rPr>
      <t xml:space="preserve">"Unlike common carrier transportation modes (air, bus, or rail), the automobile does not require or depend on intermodal connections to get from the trip origin to the trip destination." </t>
    </r>
    <r>
      <rPr>
        <sz val="7"/>
        <color theme="1"/>
        <rFont val="Calibri (Body)_x0000_"/>
      </rPr>
      <t>See p. 3.2-25 [PDF 252] of Bay Area to Central Valley Final Program EIR/EIS, May, 2008.  From Anaheim Intermodal Transport Ctr. or LAUS (800 North Alameda St. LA) to Amtrak staton of each destination. Add 27miles Long-Beach-LAUS.  Add 59miles Freno-Merced. Found at:</t>
    </r>
    <r>
      <rPr>
        <sz val="7"/>
        <color rgb="FF0000FF"/>
        <rFont val="Calibri (Body)_x0000_"/>
      </rPr>
      <t xml:space="preserve"> https://www.google.com/maps/</t>
    </r>
  </si>
  <si>
    <r>
      <rPr>
        <i/>
        <sz val="6"/>
        <color theme="1"/>
        <rFont val="Calibri"/>
        <family val="2"/>
      </rPr>
      <t xml:space="preserve"> “With the exception of the automobile, intercity transportation options require multiple modes to complete a trip.</t>
    </r>
    <r>
      <rPr>
        <sz val="6"/>
        <color theme="1"/>
        <rFont val="Calibri"/>
        <family val="2"/>
      </rPr>
      <t>” _x000B_See: Volume 1 Bay Area to Central Valley HST Final Program EIR/EIS of 2008 [PDF 224] at</t>
    </r>
    <r>
      <rPr>
        <sz val="6"/>
        <color rgb="FF0000FF"/>
        <rFont val="Calibri"/>
        <family val="2"/>
      </rPr>
      <t>: http://www.hsr.ca.gov/Programs/Environmental_Planning/bay_area_2008.html</t>
    </r>
    <r>
      <rPr>
        <sz val="6"/>
        <color indexed="18"/>
        <rFont val="Calibri"/>
        <family val="2"/>
      </rPr>
      <t xml:space="preserve">. </t>
    </r>
    <r>
      <rPr>
        <sz val="6"/>
        <color theme="1"/>
        <rFont val="Calibri"/>
        <family val="2"/>
      </rPr>
      <t>Also see  p. 3.2-25 [PDF 250] of that document. Only Auto travel does not require a modal change; therefore no access or egress times need be added to compute auto travel time.</t>
    </r>
    <r>
      <rPr>
        <sz val="6"/>
        <color indexed="18"/>
        <rFont val="Calibri"/>
        <family val="2"/>
      </rPr>
      <t xml:space="preserve">
</t>
    </r>
  </si>
  <si>
    <r>
      <rPr>
        <sz val="6"/>
        <color theme="1"/>
        <rFont val="Calibri"/>
        <family val="2"/>
      </rPr>
      <t xml:space="preserve"> The  one-way Amtrak Pacific Surliner LAUS-San Diego fare is $35.65. See</t>
    </r>
    <r>
      <rPr>
        <sz val="6"/>
        <color indexed="18"/>
        <rFont val="Calibri"/>
        <family val="2"/>
      </rPr>
      <t>:</t>
    </r>
    <r>
      <rPr>
        <sz val="6"/>
        <color rgb="FF0000FF"/>
        <rFont val="Calibri"/>
        <family val="2"/>
      </rPr>
      <t xml:space="preserve"> https://tickets.amtrak.com/itd/amtrak</t>
    </r>
  </si>
  <si>
    <t>See: Independent Determination That the Travel Time Requirements of PROP 1A/AB3034 Cannot Be Met, Paul S. Jones; March 13, 2015. Since Madera was only designated in 2018 as an HSR stop, the Authors added 33miles to Dr. Jones' LAUS-Fresno calculations, bringing the LAUS-Madera miles to 300</t>
  </si>
  <si>
    <r>
      <t xml:space="preserve">Minutes gained traveling Door-to-Door round-trip using Air (includes an </t>
    </r>
    <r>
      <rPr>
        <u/>
        <sz val="7"/>
        <color theme="1"/>
        <rFont val="Calibri (Body)_x0000_"/>
      </rPr>
      <t>extra</t>
    </r>
    <r>
      <rPr>
        <sz val="7"/>
        <color theme="1"/>
        <rFont val="Calibri (Body)_x0000_"/>
      </rPr>
      <t xml:space="preserve"> 2*45minutes for security) versus HSR</t>
    </r>
  </si>
  <si>
    <t xml:space="preserve">One-way distances traveled by an Authority client, including HSR, Authority Bus and other public transport.  The LA Metro Area (SCAG) is the largest population in CA.  Name of Origin and Destination and one-way HSR miles (differ from driving miles) between the stations. </t>
  </si>
  <si>
    <r>
      <rPr>
        <sz val="6"/>
        <color theme="1"/>
        <rFont val="Calibri"/>
        <family val="2"/>
      </rPr>
      <t>The Metro Blue journey between Downtown Long Beach and Pershing Square (LAUS) takes 81minutes and costs $1.75. See</t>
    </r>
    <r>
      <rPr>
        <sz val="6"/>
        <color indexed="18"/>
        <rFont val="Calibri"/>
        <family val="2"/>
      </rPr>
      <t xml:space="preserve">: </t>
    </r>
    <r>
      <rPr>
        <sz val="6"/>
        <color indexed="12"/>
        <rFont val="Calibri"/>
        <family val="2"/>
      </rPr>
      <t>https://media.metro.net/documents/5a366ef8-2013-4d21-8e6d-e7716ec50478.pdf</t>
    </r>
  </si>
  <si>
    <t>Los Angeles-San Francisco/466miles</t>
  </si>
  <si>
    <t>Los Angeles-San Jose/418miles</t>
  </si>
  <si>
    <t>False Phase 1: Transfer Times from HSR to BART to Oakland after HSR Ride (minutes)</t>
  </si>
  <si>
    <r>
      <t>In November 2011, ten months after its first meeting, the RTAP Chair’s presentation showed that HSR’s SF-LA Total Travel Time was 231minutes. Subtracting AB3034’s of 2hrs. 40minutes (160minutes) Run Time requirement leaves 71minutes, of access-egress time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
        <color rgb="FF0000FF"/>
        <rFont val="Calibri"/>
        <family val="2"/>
      </rPr>
      <t xml:space="preserve"> http://iti.northwestern.edu/publications/Lipinski/2011/Morning2.pdf</t>
    </r>
  </si>
  <si>
    <r>
      <rPr>
        <sz val="6"/>
        <color theme="1"/>
        <rFont val="Calibri"/>
        <family val="2"/>
      </rPr>
      <t>The Metro Blue journey between Downtown Long Beach and Pershing Square (LAUS) takes 81minutes and costs $1.75. See:</t>
    </r>
    <r>
      <rPr>
        <sz val="6"/>
        <color rgb="FF0000FF"/>
        <rFont val="Calibri"/>
        <family val="2"/>
      </rPr>
      <t xml:space="preserve"> https://media.metro.net/documents/5a366ef8-2013-4d21-8e6d-e7716ec50478.pdf </t>
    </r>
    <r>
      <rPr>
        <sz val="6"/>
        <color theme="1"/>
        <rFont val="Calibri"/>
        <family val="2"/>
      </rPr>
      <t xml:space="preserve">  The  one-way Metrolink Anaheim-LAUS fare is $8.75. See:</t>
    </r>
    <r>
      <rPr>
        <sz val="6"/>
        <color indexed="12"/>
        <rFont val="Calibri"/>
        <family val="2"/>
      </rPr>
      <t xml:space="preserve"> http://www.metrolinktrains.com/tripplanner/</t>
    </r>
  </si>
  <si>
    <r>
      <t>The source of $23 is the average for round-trip  access and egress costs is derived from: “As with air travel, both an access fee and an egress fee ranging from $15 to $31 round trip are part of the HST average total costs.” found on p. 3-2-30 [PDF 261] Bay Area to Central Valley HST Final Program EIR/EIS, Volume 1: Report, May 2008; prepared by the US Dept. of Transportation/Federal Railroad Administration and the California High-Speed Rail Authority., found at:</t>
    </r>
    <r>
      <rPr>
        <sz val="6"/>
        <color rgb="FF0000FF"/>
        <rFont val="Calibri (Body)_x0000_"/>
      </rPr>
      <t xml:space="preserve"> http://www.hsr.ca.gov/Programs/Environmental_Planning/bay_area_2008.html</t>
    </r>
    <r>
      <rPr>
        <sz val="6"/>
        <color theme="1"/>
        <rFont val="Calibri (Body)_x0000_"/>
      </rPr>
      <t>.   Note: We assumed that this $23 includes parking as well as driving costs, or the costs of public conveyance to and from the Origin and Destination HSR stations</t>
    </r>
  </si>
  <si>
    <r>
      <t xml:space="preserve">The source of $23 is the average for round-trip  access and egress costs is derived from: “As with air travel, both an access fee and an egress fee ranging from $15 to $31 round trip are part of the HST average total costs.” found on p. 3-2-30 [PDF 261] Bay Area to Central Valley HST Final Program EIR/EIS, Volume 1: Report, May 2008; prepared by the US Dept. of Transportation/Federal Railroad Administration and the California High-Speed Rail Authority, found at: </t>
    </r>
    <r>
      <rPr>
        <sz val="6"/>
        <color rgb="FF0000FF"/>
        <rFont val="Calibri (Body)_x0000_"/>
      </rPr>
      <t xml:space="preserve">http://www.hsr.ca.gov/Programs/Environmental_Planning/bay_area_2008.html. </t>
    </r>
    <r>
      <rPr>
        <sz val="6"/>
        <color theme="1"/>
        <rFont val="Calibri"/>
        <family val="2"/>
        <scheme val="minor"/>
      </rPr>
      <t xml:space="preserve">  Note: We assumed that this $23 includes parking as well as driving costs, or the costs of public conveyance to and from the Origin and Destination HSR stations</t>
    </r>
  </si>
  <si>
    <r>
      <t xml:space="preserve">The source of $23 is the average for round-trip  access and egress costs is derived from: </t>
    </r>
    <r>
      <rPr>
        <i/>
        <sz val="6"/>
        <color theme="1"/>
        <rFont val="Calibri"/>
        <family val="2"/>
      </rPr>
      <t>“As with air travel, both an access fee and an egress fee ranging from $15 to $31 round trip are part of the HST average total costs.”</t>
    </r>
    <r>
      <rPr>
        <sz val="6"/>
        <color theme="1"/>
        <rFont val="Calibri"/>
        <family val="2"/>
      </rPr>
      <t xml:space="preserve"> found on p. 3-2-30 [PDF 261] Bay Area to Central Valley HST Final Program EIR/EIS, Volume 1: Report, May 2008; prepared by the US Dept. of Transportation/Federal Railroad Administration and the California High-Speed Rail Authority found at: </t>
    </r>
    <r>
      <rPr>
        <sz val="6"/>
        <color rgb="FF0000FF"/>
        <rFont val="Calibri"/>
        <family val="2"/>
      </rPr>
      <t>http://www.hsr.ca.gov/Programs/Environmental_Planning/bay_area_2008.html</t>
    </r>
    <r>
      <rPr>
        <sz val="6"/>
        <color theme="1"/>
        <rFont val="Calibri"/>
        <family val="2"/>
      </rPr>
      <t xml:space="preserve">.  </t>
    </r>
    <r>
      <rPr>
        <b/>
        <sz val="6"/>
        <color theme="1"/>
        <rFont val="Calibri"/>
        <family val="2"/>
      </rPr>
      <t>Note:</t>
    </r>
    <r>
      <rPr>
        <sz val="6"/>
        <color theme="1"/>
        <rFont val="Calibri"/>
        <family val="2"/>
      </rPr>
      <t xml:space="preserve"> We assumed that this $23 includes parking as well as driving costs, or the costs of public conveyance to and from the Origin and Destination HSR stations</t>
    </r>
  </si>
  <si>
    <r>
      <t>The source of $23 is the average for round-trip  access and egress costs is derived from: “As with air travel, both an access fee and an egress fee ranging from $15 to $31 round trip are part of the HST average total costs.” found on p. 3-2-30 [PDF 261] Bay Area to Central Valley HST Final Program EIR/EIS, Volume 1: Report, May 2008; prepared by the US Dept. of Transportation/Federal Railroad Administration and the California High-Speed Rail Authority, found at:</t>
    </r>
    <r>
      <rPr>
        <sz val="6"/>
        <color rgb="FF0000FF"/>
        <rFont val="Calibri (Body)_x0000_"/>
      </rPr>
      <t xml:space="preserve"> http://www.hsr.ca.gov/Programs/Environmental_Planning/bay_area_2008.html</t>
    </r>
    <r>
      <rPr>
        <sz val="6"/>
        <color theme="1"/>
        <rFont val="Calibri (Body)_x0000_"/>
      </rPr>
      <t>.   Note: We assumed that this $23 includes parking as well as driving costs, or the costs of public conveyance to and from the Origin and Destination HSR stations</t>
    </r>
  </si>
  <si>
    <r>
      <t xml:space="preserve">The source of $23 is the average for round-trip  access and egress costs is derived from: </t>
    </r>
    <r>
      <rPr>
        <i/>
        <sz val="6"/>
        <color theme="1"/>
        <rFont val="Calibri"/>
        <family val="2"/>
      </rPr>
      <t>“As with air travel, both an access fee and an egress fee ranging from $15 to $31 round trip are part of the HST average total costs.”</t>
    </r>
    <r>
      <rPr>
        <sz val="6"/>
        <color theme="1"/>
        <rFont val="Calibri"/>
        <family val="2"/>
      </rPr>
      <t xml:space="preserve"> found on p. 3-2-30 [PDF 261] Bay Area to Central Valley HST Final Program EIR/EIS, Volume 1: Report, May 2008; prepared by the US Dept. of Transportation/Federal Railroad Administration and the California High-Speed Rail Authority, found at: </t>
    </r>
    <r>
      <rPr>
        <sz val="6"/>
        <color rgb="FF0000FF"/>
        <rFont val="Calibri"/>
        <family val="2"/>
      </rPr>
      <t xml:space="preserve">http://www.hsr.ca.gov/Programs/Environmental_Planning/bay_area_2008.html. </t>
    </r>
    <r>
      <rPr>
        <sz val="6"/>
        <color theme="1"/>
        <rFont val="Calibri"/>
        <family val="2"/>
      </rPr>
      <t xml:space="preserve">  </t>
    </r>
    <r>
      <rPr>
        <b/>
        <sz val="6"/>
        <color theme="1"/>
        <rFont val="Calibri"/>
        <family val="2"/>
      </rPr>
      <t>Note:</t>
    </r>
    <r>
      <rPr>
        <sz val="6"/>
        <color theme="1"/>
        <rFont val="Calibri"/>
        <family val="2"/>
      </rPr>
      <t xml:space="preserve"> We assumed that this $23 includes parking as well as driving costs, or the costs of public conveyance to and from the Origin and Destination HSR stations</t>
    </r>
  </si>
  <si>
    <r>
      <rPr>
        <sz val="6.5"/>
        <color theme="1"/>
        <rFont val="Calibri"/>
        <family val="2"/>
      </rPr>
      <t>In 2011, ten months after its first meeting,  RTAP Chair’s presentation showed that HSR’s SF-LA Total Travel Time was 231minutes. Subtracting AB3034’s of 2hrs. 40minutes (160minutes) Run Time requirement leaves 71minutes, of access-egress time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5"/>
        <color rgb="FF0000FF"/>
        <rFont val="Calibri"/>
        <family val="2"/>
      </rPr>
      <t xml:space="preserve"> http://iti.northwestern.edu/publications/Lipinski/2011/Morning2.pdf</t>
    </r>
  </si>
  <si>
    <r>
      <t>In 2011, ten months after its first meeting,  RTAP Chair’s presentation showed that HSR’s SF-LA Total Travel Time was 231minutes. Subtracting AB3034’s of 2hrs. 40minutes (160minutes) Run Time requirement leaves 71minutes, of access-egress time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
        <color rgb="FF0000FF"/>
        <rFont val="Calibri (Body)_x0000_"/>
      </rPr>
      <t xml:space="preserve"> http://iti.northwestern.edu/publications/Lipinski/2011/Morning2.pdf</t>
    </r>
  </si>
  <si>
    <r>
      <t xml:space="preserve">In 2011, ten months after its first meeting,  RTAP Chair’s presentation showed that HSR’s SF-LA Total Travel Time was 231minutes. Subtracting AB3034’s of 2hrs. 40minutes (160minutes) Run Time requirement leaves 71minutes, of access-egress time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 </t>
    </r>
    <r>
      <rPr>
        <sz val="6"/>
        <color rgb="FF0000FF"/>
        <rFont val="Calibri (Body)_x0000_"/>
      </rPr>
      <t>http://iti.northwestern.edu/publications/Lipinski/2011/Morning2.pdf</t>
    </r>
  </si>
  <si>
    <r>
      <rPr>
        <sz val="6"/>
        <color theme="1"/>
        <rFont val="Calibri"/>
        <family val="2"/>
      </rPr>
      <t>In November 2011, ten months after its first meeting, the RTAP Chair’s presentation showed that HSR’s SF-LA Total Travel Time was 231minutes. Subtracting AB3034’s of 2hrs. 40minutes (160minutes) Run Time requirement leaves 71minutes, of access-egress time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
        <color rgb="FF0000FF"/>
        <rFont val="Calibri"/>
        <family val="2"/>
      </rPr>
      <t>: http://iti.northwestern.edu/publications/Lipinski/2011/Morning2.pdf</t>
    </r>
  </si>
  <si>
    <r>
      <t>In November 2011 ten months after its first meeting, the RTAP Chair’s presentation showed that HSR’s SF-LA Total Travel Time was 231minutes. Subtracting AB3034’s of 2hrs. 40minutes (160minutes) Run Time requirement leaves 71minutes, of access-egress time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
        <color rgb="FF0000FF"/>
        <rFont val="Calibri"/>
        <family val="2"/>
      </rPr>
      <t xml:space="preserve"> http://iti.northwestern.edu/publications/Lipinski/2011/Morning2.pdf</t>
    </r>
  </si>
  <si>
    <r>
      <rPr>
        <sz val="7"/>
        <color theme="1"/>
        <rFont val="Calibri"/>
        <family val="2"/>
        <scheme val="minor"/>
      </rPr>
      <t xml:space="preserve">The analyses of 11 Origins/Destination in the San Joaquin Valley, which includes Sacramento County, are those the Authority’s HSR trains or dedicated buses will serve from 2029-2040 - and where the Authority claims riders and revenues will come from.  They are also places where the Authority will discontinue Amtrak's San Joaquin </t>
    </r>
    <r>
      <rPr>
        <sz val="7"/>
        <color theme="1"/>
        <rFont val="Calibri (Body)_x0000_"/>
      </rPr>
      <t xml:space="preserve">subsidized </t>
    </r>
    <r>
      <rPr>
        <sz val="7"/>
        <color theme="1"/>
        <rFont val="Calibri"/>
        <family val="2"/>
        <scheme val="minor"/>
      </rPr>
      <t>rail service in 2029. [</t>
    </r>
    <r>
      <rPr>
        <i/>
        <sz val="7"/>
        <color theme="1"/>
        <rFont val="Calibri"/>
        <family val="2"/>
        <scheme val="minor"/>
      </rPr>
      <t>“Note that the existing San Joaquin service south of Merced to Bakersfield is assumed to be discontinued upon the initiation of HST service.”</t>
    </r>
    <r>
      <rPr>
        <sz val="7"/>
        <color theme="1"/>
        <rFont val="Calibri"/>
        <family val="2"/>
        <scheme val="minor"/>
      </rPr>
      <t xml:space="preserve">  See: Cambridge Systematics’ (CS) final technical memorandum of Ridership and Revenue Forecasting of April 12, 2012, Section 5.2, p. 5-5 [PDF 37]. T</t>
    </r>
    <r>
      <rPr>
        <sz val="7"/>
        <color theme="1"/>
        <rFont val="Calibri (Body)_x0000_"/>
      </rPr>
      <t>herefore it is important to understand whether these routes are time or cost competitive with Auto or Air</t>
    </r>
    <r>
      <rPr>
        <sz val="7"/>
        <color theme="1"/>
        <rFont val="Calibri"/>
        <family val="2"/>
        <scheme val="minor"/>
      </rPr>
      <t>. Nineteen Counties (or parts of several) define the San Joaquin Valley: Butte, Colusa, Glenn, El Dorado, Fresno, Kings, Madera, Merced, Placer, San Joaquin, Sacramento, Shasta, Solano, Stanislaus, Sutter, Tehama, Tulare, Yuba, Yolo, and the Southern California county of Kern. See:</t>
    </r>
    <r>
      <rPr>
        <sz val="7"/>
        <color theme="1"/>
        <rFont val="Calibri (Body)_x0000_"/>
      </rPr>
      <t xml:space="preserve"> </t>
    </r>
    <r>
      <rPr>
        <sz val="7"/>
        <color rgb="FF0000FF"/>
        <rFont val="Calibri (Body)_x0000_"/>
      </rPr>
      <t xml:space="preserve">https://en.wikipedia.org/wiki/San_Joaquin_Valley </t>
    </r>
  </si>
  <si>
    <r>
      <rPr>
        <i/>
        <sz val="6"/>
        <color indexed="8"/>
        <rFont val="Calibri"/>
        <family val="2"/>
        <scheme val="minor"/>
      </rPr>
      <t>"Unlike common carrier transportation modes (air, bus, or rail), the automobile does not require or depend on intermodal connections to get from the trip origin to the trip destination."</t>
    </r>
    <r>
      <rPr>
        <sz val="6"/>
        <color indexed="8"/>
        <rFont val="Calibri"/>
        <family val="2"/>
        <scheme val="minor"/>
      </rPr>
      <t xml:space="preserve"> See p. 3.2-25 [PDF 252] of Bay Area to Central Valley Final Program EIR/EIS, May 2008.  All driving distances and driving times are from OC Gateway (Norwalk), or Anaheim Amtrak station or the Burbank Airport (BUR)  to the Amtrak station of each destination, except for Palmdale which starts/ends at City Hall since there is no Amtrak station. Distances and driving times found at:</t>
    </r>
    <r>
      <rPr>
        <sz val="6"/>
        <color rgb="FF0000FF"/>
        <rFont val="Calibri"/>
        <family val="2"/>
        <scheme val="minor"/>
      </rPr>
      <t xml:space="preserve"> https://www.google.com/maps/  </t>
    </r>
  </si>
  <si>
    <r>
      <rPr>
        <i/>
        <sz val="6"/>
        <color indexed="8"/>
        <rFont val="Calibri (Body)_x0000_"/>
      </rPr>
      <t xml:space="preserve">"Unlike common carrier transportation modes (air, bus, or rail), the automobile does not require or depend on intermodal connections to get from the trip origin to the trip destination." </t>
    </r>
    <r>
      <rPr>
        <sz val="6"/>
        <color indexed="8"/>
        <rFont val="Calibri (Body)_x0000_"/>
      </rPr>
      <t>See p. 3.2-25 [PDF 252] of Bay Area to Central Valley Final Program EIR/EIS, May 2008.  All driving distances and driving times are from OC Gateway (Norwalk), or Anaheim Amtrak station or the Burbank Airport (BUR)  to the Amtrak station of each destination, except for Palmdale which starts/ends at City Hall since there is no Amtrak station. Distances and driving times found at:</t>
    </r>
    <r>
      <rPr>
        <sz val="6"/>
        <color rgb="FF0000FF"/>
        <rFont val="Calibri (Body)_x0000_"/>
      </rPr>
      <t xml:space="preserve"> https://www.google.com/maps/  	</t>
    </r>
    <r>
      <rPr>
        <sz val="6"/>
        <color indexed="8"/>
        <rFont val="Calibri (Body)_x0000_"/>
      </rPr>
      <t xml:space="preserve">
	</t>
    </r>
  </si>
  <si>
    <t>Table 3.1, p. 3-3 [PDF 27 of the 2016 Plan Ridership and Revenue Forecasting, Technical Supporting Document gives a SFTBT-Merced fare. But to get to Merced requires changing in Fresno and a $45 Fresno-Merced HSR ride. However, we used the Authority's fare table.</t>
  </si>
  <si>
    <t>False Phase 1:          Access to HSR station from BART and pre-HSR transportation Transfer Times: does not include access to HSR station times (minutes)</t>
  </si>
  <si>
    <t>False Phase 1:    HSR Run Times from San Francisco's Transbay Terminal (SFTBT) in minutes</t>
  </si>
  <si>
    <t>See: Appendix A.2, Table A.2.2 p. A-2 [PDF 62] of the  2018 Ridership and Revenue Forecasting, Technical Supporting Document. These Run Times are from SFTBT to Fresno, KT Hanford or Bakersfield, as there is no direct HSR train SFTBT-Merced or SFTBT-Sacramento. Those latter two travelers must first go Madera, then transfer to HSR rail for Merced, then transfer to an Authority dedicated bus for Sacramento.</t>
  </si>
  <si>
    <t>Transfer Time for HSR ride to Merced after HSR ride to Fresno (minutes)</t>
  </si>
  <si>
    <t xml:space="preserve">One-way distances traveled by an Authority client, including HSR, Authority Bus and other public transport.  Travel from the SF Bay Area (MTC) because it is is California's  second larget metropolitan area.  Name of Origin and Destination and one-way HSR miles between the stations. Note that HSR miles are often longer than driving miles  </t>
  </si>
  <si>
    <r>
      <rPr>
        <sz val="6"/>
        <color theme="1"/>
        <rFont val="Calibri"/>
        <family val="2"/>
      </rPr>
      <t>The 15% uplift on an Auto round-trip is reasonable given that: 1) for a one-way trip, Table 1.2-3 p. 1-9 [PDF 82] of Bay Area to Central Valley Final Program EIR/EIS, May, 2008 at</t>
    </r>
    <r>
      <rPr>
        <sz val="6"/>
        <color indexed="18"/>
        <rFont val="Calibri"/>
        <family val="2"/>
      </rPr>
      <t>,</t>
    </r>
    <r>
      <rPr>
        <sz val="6"/>
        <color rgb="FF0000FF"/>
        <rFont val="Calibri"/>
        <family val="2"/>
      </rPr>
      <t xml:space="preserve"> http://www.hsr.ca.gov/Programs/Environmental_Planning/bay_area_2008.html,</t>
    </r>
    <r>
      <rPr>
        <sz val="6"/>
        <color indexed="18"/>
        <rFont val="Calibri"/>
        <family val="2"/>
      </rPr>
      <t xml:space="preserve"> </t>
    </r>
    <r>
      <rPr>
        <sz val="6"/>
        <color theme="1"/>
        <rFont val="Calibri"/>
        <family val="2"/>
      </rPr>
      <t>shows that between 2000 and 2030 an Auto trip’s Total Travel Time increases from 2% (Sacramento-San Jose) up to 6.9% for BUR-San Jose, with LA-SF at +5.6%, and 2) Americans lose 0%-30% of their daily commute on road traffic delays. See:</t>
    </r>
    <r>
      <rPr>
        <sz val="6"/>
        <color rgb="FF0000FF"/>
        <rFont val="Calibri"/>
        <family val="2"/>
      </rPr>
      <t xml:space="preserve"> http://abcnews.go.com/US/time-americans-waste-traffic/story?id=33313765 </t>
    </r>
  </si>
  <si>
    <r>
      <rPr>
        <sz val="6"/>
        <color theme="1"/>
        <rFont val="Calibri"/>
        <family val="2"/>
      </rPr>
      <t>The 15% uplift on an Auto round-trip is reasonable given that: 1) for a one-way trip, Table 1.2-3 p. 1-9 [PDF 82] of Bay Area to Central Valley Final Program EIR/EIS, May, 2008 at</t>
    </r>
    <r>
      <rPr>
        <sz val="6"/>
        <color indexed="18"/>
        <rFont val="Calibri"/>
        <family val="2"/>
      </rPr>
      <t>,</t>
    </r>
    <r>
      <rPr>
        <sz val="6"/>
        <color rgb="FF0000FF"/>
        <rFont val="Calibri"/>
        <family val="2"/>
      </rPr>
      <t xml:space="preserve"> http://www.hsr.ca.gov/Programs/Environmental_Planning/bay_area_2008.html,</t>
    </r>
    <r>
      <rPr>
        <sz val="6"/>
        <color indexed="18"/>
        <rFont val="Calibri"/>
        <family val="2"/>
      </rPr>
      <t xml:space="preserve"> </t>
    </r>
    <r>
      <rPr>
        <sz val="6"/>
        <color theme="1"/>
        <rFont val="Calibri"/>
        <family val="2"/>
      </rPr>
      <t>shows that between 2000 and 2030 an Auto trip’s Total Travel Time increases from 2% (Sacramento-San Jose) up to 6.9% for BUR-San Jose, with LA-SF at +5.6%, and 2) Americans lose 0%-30% of their daily commute on road traffic delays. See:</t>
    </r>
    <r>
      <rPr>
        <sz val="6"/>
        <color rgb="FF0000FF"/>
        <rFont val="Calibri"/>
        <family val="2"/>
      </rPr>
      <t xml:space="preserve"> http://abcnews.go.com/US/time-americans-waste-traffic/story?id=33313765</t>
    </r>
    <r>
      <rPr>
        <sz val="6"/>
        <color theme="1"/>
        <rFont val="Calibri"/>
        <family val="2"/>
      </rPr>
      <t xml:space="preserve"> </t>
    </r>
  </si>
  <si>
    <t xml:space="preserve">False Phase 1:          Total HSR Round-Trip HSR and Bus or Rail fares based on Table 2.2 p. 2-5 {PDF 25] of the 2018 Plan's Ridersihip and Revenue Forecast </t>
  </si>
  <si>
    <t>False Phase 1:               Round-Trip, Total Travel Costs = HSR fares based on Table 2.2 + $23 for access+egress costs.</t>
  </si>
  <si>
    <t>San Francisco-Palmdale/409miles</t>
  </si>
  <si>
    <t>Millbrae-Los Angeles/451miles</t>
  </si>
  <si>
    <t xml:space="preserve">Fares are from Table 2.2, p. 2-5 [PDF 25] of the  2018  Plan's Ridership and Revenue Forecasting, Technical Supporting Document. 
</t>
  </si>
  <si>
    <t>See: Independent Determination That the Travel Time Requirements of PROP 1A/AB3034 Cannot Be Met, Paul S. Jones; March 13, 2015. Added 27 driving miles Long Beach to LAUS</t>
  </si>
  <si>
    <t>SFO-LAX</t>
  </si>
  <si>
    <t>SJC-BUR</t>
  </si>
  <si>
    <t>SJC-LAX</t>
  </si>
  <si>
    <r>
      <t>"Unlike common carrier transportation modes (air, bus, or rail), the automobile does not require or depend on intermodal connections to get from the trip origin to the trip destination." See p. 3.2-25 [PDF 252] of Bay Area to Central Valley Final Program EIR/EIS, May, 2008.  From Anaheim Intermodal Transport Ctr. or LAUS (800 North Alameda St. LA) to Amtrak staton of each destination. Add 27miles Long-Beach-LAUS.  Add 59miles Freno-Merced. Found at:</t>
    </r>
    <r>
      <rPr>
        <sz val="6"/>
        <color rgb="FF0000FF"/>
        <rFont val="Calibri (Body)_x0000_"/>
      </rPr>
      <t xml:space="preserve"> https://www.google.com/maps/</t>
    </r>
  </si>
  <si>
    <r>
      <t xml:space="preserve"> “With the exception of the automobile, intercity transportation options require multiple modes to complete a trip.” _x000B_See: Volume 1 Bay Area to Central Valley HST Final Program EIR/EIS of 2008 [PDF 224] at:</t>
    </r>
    <r>
      <rPr>
        <sz val="6"/>
        <color rgb="FF0000FF"/>
        <rFont val="Calibri"/>
        <family val="2"/>
      </rPr>
      <t xml:space="preserve"> http://www.hsr.ca.gov/Programs/Environmental_Planning/bay_area_2008.html</t>
    </r>
    <r>
      <rPr>
        <sz val="6"/>
        <color theme="1"/>
        <rFont val="Calibri"/>
        <family val="2"/>
      </rPr>
      <t xml:space="preserve">. Also see  p. 3.2-25 [PDF 250] of that document. Only Auto travel does not require a modal change; therefore no access or egress times need be added to compute auto travel time.
</t>
    </r>
  </si>
  <si>
    <r>
      <rPr>
        <sz val="6"/>
        <color theme="1"/>
        <rFont val="Calibri"/>
        <family val="2"/>
      </rPr>
      <t>The 15% uplift on an Auto round-trip is reasonable given that: 1) for a one-way trip, Table 1.2-3 p. 1-9 [PDF 82] of Bay Area to Central Valley Final Program EIR/EIS, May, 2008; at:</t>
    </r>
    <r>
      <rPr>
        <sz val="6"/>
        <color rgb="FF3366FF"/>
        <rFont val="Calibri"/>
        <family val="2"/>
      </rPr>
      <t xml:space="preserve"> </t>
    </r>
    <r>
      <rPr>
        <sz val="6"/>
        <color rgb="FF0000FF"/>
        <rFont val="Calibri"/>
        <family val="2"/>
      </rPr>
      <t xml:space="preserve">http://www.hsr.ca.gov/Programs/Environmental_Planning/bay_area_2008.html, </t>
    </r>
    <r>
      <rPr>
        <sz val="6"/>
        <color theme="1"/>
        <rFont val="Calibri"/>
        <family val="2"/>
      </rPr>
      <t>shows that between 2000 and 2030 an Auto trip’s Total Travel Time increases from 2% (Sacramento-San Jose) up to 6.9% for BUR-San Jose, with LA-SF at +5.6%, and 2) Americans lose 0%-30% of their daily commute on road traffic delays. See:</t>
    </r>
    <r>
      <rPr>
        <sz val="6"/>
        <color rgb="FF0000FF"/>
        <rFont val="Calibri"/>
        <family val="2"/>
      </rPr>
      <t xml:space="preserve"> http://abcnews.go.com/US/time-americans-waste-traffic/story?id=33313765 </t>
    </r>
  </si>
  <si>
    <t xml:space="preserve">False Phase 1: Tansport times prior to starting HSR travel (minutes) </t>
  </si>
  <si>
    <t>False Phase 1:     HSR Run Times From MTC Origins to Los Angeles Union Station or a specific SCAG destinations (minutes)</t>
  </si>
  <si>
    <t>Millbrae-Long Beach/476miles</t>
  </si>
  <si>
    <r>
      <rPr>
        <sz val="6"/>
        <color theme="1"/>
        <rFont val="Calibri"/>
        <family val="2"/>
      </rPr>
      <t>There is no planned HSR connection between LAUS and  Long Beach. The Metro Blue journey between Downtown Long Beach and Pershing Square (LAUS) takes 81minutes and costs $1.75. See:</t>
    </r>
    <r>
      <rPr>
        <sz val="6"/>
        <color rgb="FF0000FF"/>
        <rFont val="Calibri"/>
        <family val="2"/>
      </rPr>
      <t>https://media.metro.net/documents/5a366ef8-2013-4d21-8e6d-e7716ec50478.pdf</t>
    </r>
    <r>
      <rPr>
        <sz val="6"/>
        <color indexed="18"/>
        <rFont val="Calibri"/>
        <family val="2"/>
      </rPr>
      <t xml:space="preserve">
</t>
    </r>
  </si>
  <si>
    <t>False Phase 1:    Transit to Long Beach Run Times after HSR ride (minutes)</t>
  </si>
  <si>
    <r>
      <t>In November 2011, ten months after its first meeting, the RTAP Chair’s presentation showed that HSR’s SF-LA Total Travel Time was 231minutes. Subtracting AB3034’s of 2hrs. 40minutes (160minutes) Run Time requirement leaves 71minutes, of access-egress time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
        <color rgb="FF0000FF"/>
        <rFont val="Calibri (Body)_x0000_"/>
      </rPr>
      <t xml:space="preserve"> http://iti.northwestern.edu/publications/Lipinski/2011/Morning2.pdf</t>
    </r>
  </si>
  <si>
    <t>False Phase 1: BART or other transit fares before HSR travel (does not include access cost)</t>
  </si>
  <si>
    <r>
      <t>The source of $23 is the average for round-trip  access and egress costs is derived from: “As with air travel, both an access fee and an egress fee ranging from $15 to $31 round trip are part of the HST average total costs.” found on p. 3-2-30 [PDF 261] Bay Area to Central Valley HST Final Program EIR/EIS, Volume 1: Report, May 2008; prepared by the US Dept. of Transportation/Federal Railroad Administration and the California High-Speed Rail Authority found at:</t>
    </r>
    <r>
      <rPr>
        <sz val="6"/>
        <color rgb="FF0000FF"/>
        <rFont val="Calibri (Body)_x0000_"/>
      </rPr>
      <t xml:space="preserve"> http://www.hsr.ca.gov/Programs/Environmental_Planning/bay_area_2008.html</t>
    </r>
    <r>
      <rPr>
        <sz val="6"/>
        <color theme="1"/>
        <rFont val="Calibri (Body)_x0000_"/>
      </rPr>
      <t>.  Note: We assumed that this $23 includes parking as well as driving costs, or the costs of public conveyance to and from the Origin and Destination HSR stations</t>
    </r>
  </si>
  <si>
    <t xml:space="preserve"> LAUS-Long Beach Metro Rail fare of $1.75 is added here because there is no HSR service between Long Beach and the Los Angeles Union Station.</t>
  </si>
  <si>
    <r>
      <t>Based on mieage in Independent Determination That the Travel Time Requirements of PROP 1A/AB3034 Cannot Be Met</t>
    </r>
    <r>
      <rPr>
        <u/>
        <sz val="6"/>
        <color theme="1"/>
        <rFont val="Calibri"/>
        <family val="2"/>
        <scheme val="minor"/>
      </rPr>
      <t>,</t>
    </r>
    <r>
      <rPr>
        <sz val="6"/>
        <color theme="1"/>
        <rFont val="Calibri"/>
        <family val="2"/>
        <scheme val="minor"/>
      </rPr>
      <t xml:space="preserve"> Paul S. Jones; March 13, 2015. Does not include LAUS-Long Beach miles, as fares for that route are counted elsewhere</t>
    </r>
  </si>
  <si>
    <t>SJC-LGB</t>
  </si>
  <si>
    <t>SFO-BUR</t>
  </si>
  <si>
    <t>SFO-LGB</t>
  </si>
  <si>
    <r>
      <t>Fight advance purchases found at:</t>
    </r>
    <r>
      <rPr>
        <sz val="6"/>
        <color rgb="FF0000FF"/>
        <rFont val="Calibri (Body)_x0000_"/>
      </rPr>
      <t xml:space="preserve"> https://www.kayak.com/flights/</t>
    </r>
    <r>
      <rPr>
        <sz val="6"/>
        <color theme="1"/>
        <rFont val="Calibri (Body)_x0000_"/>
      </rPr>
      <t>. See Screen Shots to/from folder</t>
    </r>
  </si>
  <si>
    <t xml:space="preserve">Note that HSR miles are often longer than driving miles and that the HSR miles above are not the same as the shorter HSR miles used to calculate formula based fares. Also note that the distances from origin to either Long Beach or San Diego are the total miles of an HSR traveler and not those used in calculating HSR travel times or fares. The differences are driving miles.     </t>
  </si>
  <si>
    <r>
      <rPr>
        <i/>
        <sz val="6"/>
        <color theme="1"/>
        <rFont val="Calibri (Body)_x0000_"/>
      </rPr>
      <t xml:space="preserve">   "Unlike common carrier transportation modes (air, bus, or rail), the automobile does not require or depend on intermodal connections to get from the trip origin to the trip destination."</t>
    </r>
    <r>
      <rPr>
        <sz val="6"/>
        <color theme="1"/>
        <rFont val="Calibri (Body)_x0000_"/>
      </rPr>
      <t xml:space="preserve"> See p. 3.2-25 [PDF 252] of Bay Area to Central Valley Final Program EIR/EIS, May, 2008.  From San Francisco Transbay Terminal (SFTBT at 200 Folsom. SF), San Jose Diridon station (65 Cahill St. San Jose, or Oakland's Amtrak staton to the Amtrak station in each destination - or in the case of Long Beach to LAUS. Found at: </t>
    </r>
    <r>
      <rPr>
        <sz val="6"/>
        <color rgb="FF0000FF"/>
        <rFont val="Calibri (Body)_x0000_"/>
      </rPr>
      <t xml:space="preserve">https://www.google.com/maps/ </t>
    </r>
    <r>
      <rPr>
        <sz val="6"/>
        <color theme="1"/>
        <rFont val="Calibri (Body)_x0000_"/>
      </rPr>
      <t xml:space="preserve">
</t>
    </r>
  </si>
  <si>
    <r>
      <rPr>
        <sz val="6"/>
        <color theme="1"/>
        <rFont val="Calibri"/>
        <family val="2"/>
      </rPr>
      <t xml:space="preserve"> “With the exception of the automobile, intercity transportation options require multiple modes to complete a trip.” _x000B_See: Volume 1 Bay Area to Central Valley HST Final Program EIR/EIS of 2008 [PDF 224] at</t>
    </r>
    <r>
      <rPr>
        <sz val="6"/>
        <color indexed="18"/>
        <rFont val="Calibri"/>
        <family val="2"/>
      </rPr>
      <t xml:space="preserve">: </t>
    </r>
    <r>
      <rPr>
        <sz val="6"/>
        <color indexed="12"/>
        <rFont val="Calibri"/>
        <family val="2"/>
      </rPr>
      <t>http://www.hsr.ca.gov/Programs/Environmental_Planning/bay_area_2008.html.</t>
    </r>
    <r>
      <rPr>
        <sz val="6"/>
        <color indexed="18"/>
        <rFont val="Calibri"/>
        <family val="2"/>
      </rPr>
      <t xml:space="preserve"> </t>
    </r>
    <r>
      <rPr>
        <sz val="6"/>
        <color theme="1"/>
        <rFont val="Calibri"/>
        <family val="2"/>
      </rPr>
      <t>Also see  p. 3.2-25 [PDF 250] of that document. Only Auto travel does not require a modal change; therefore no access or egress times need be added to compute auto travel time.</t>
    </r>
  </si>
  <si>
    <r>
      <t>The 15% uplift on an Auto round-trip is reasonable given that: 1) for a one-way trip, Table 1.2-3 p. 1-9 [PDF 82] of Bay Area to Central Valley Final Program EIR/EIS, May, 2008, at:</t>
    </r>
    <r>
      <rPr>
        <sz val="6"/>
        <color rgb="FF0000FF"/>
        <rFont val="Calibri (Body)_x0000_"/>
      </rPr>
      <t xml:space="preserve"> http://www.hsr.ca.gov/Programs/Environmental_Planning/bay_area_2008.html</t>
    </r>
    <r>
      <rPr>
        <sz val="6"/>
        <color theme="1"/>
        <rFont val="Calibri (Body)_x0000_"/>
      </rPr>
      <t xml:space="preserve">, shows that between 2000 and 2030 an Auto trip’s Total Travel Time increases from 2% (Sacramento-San Jose) up to 6.9% for BUR-San Jose, with LA-SF at +5.6%, and 2) Americans lose 0%-30% of their daily commute on road traffic delays. See: </t>
    </r>
    <r>
      <rPr>
        <sz val="6"/>
        <color rgb="FF0000FF"/>
        <rFont val="Calibri (Body)_x0000_"/>
      </rPr>
      <t xml:space="preserve">http://abcnews.go.com/US/time-americans-waste-traffic/story?id=33313765 </t>
    </r>
  </si>
  <si>
    <r>
      <t>San Francisco-OC Gateway/</t>
    </r>
    <r>
      <rPr>
        <b/>
        <sz val="7"/>
        <color indexed="8"/>
        <rFont val="Calibri"/>
        <family val="2"/>
      </rPr>
      <t>480miles</t>
    </r>
  </si>
  <si>
    <r>
      <t>San Francisco-Long Beach</t>
    </r>
    <r>
      <rPr>
        <b/>
        <sz val="7"/>
        <color indexed="8"/>
        <rFont val="Calibri"/>
        <family val="2"/>
      </rPr>
      <t>/491miles</t>
    </r>
  </si>
  <si>
    <r>
      <t>San Francisco-Anaheim</t>
    </r>
    <r>
      <rPr>
        <b/>
        <sz val="7"/>
        <color indexed="8"/>
        <rFont val="Calibri"/>
        <family val="2"/>
      </rPr>
      <t>/493miles</t>
    </r>
  </si>
  <si>
    <t>False Phase 1:                   Cost of Driving Round-Trip @ 23¢/mile, the Authority's metric for fully-loaded auto costs</t>
  </si>
  <si>
    <r>
      <rPr>
        <i/>
        <sz val="7"/>
        <color theme="1"/>
        <rFont val="Calibri (Body)_x0000_"/>
      </rPr>
      <t>"Unlike common carrier transportation modes (air, bus, or rail), the automobile does not require or depend on intermodal connections to get from the trip origin to the trip destination."</t>
    </r>
    <r>
      <rPr>
        <sz val="7"/>
        <color theme="1"/>
        <rFont val="Calibri (Body)_x0000_"/>
      </rPr>
      <t xml:space="preserve"> See p. 3.2-25 [PDF 252] of Bay Area to Central Valley Final Program EIR/EIS, May, 2008.  Driving distances and times are measured from Oakland's 12th St. City Center BART station, to Sacramento or San Joaquin Valley destinaton cities' Amtrak stations.  All found at:</t>
    </r>
    <r>
      <rPr>
        <sz val="7"/>
        <color rgb="FF0000FF"/>
        <rFont val="Calibri (Body)_x0000_"/>
      </rPr>
      <t xml:space="preserve"> https://www.google.com/maps/</t>
    </r>
  </si>
  <si>
    <r>
      <rPr>
        <i/>
        <sz val="6"/>
        <color theme="1"/>
        <rFont val="Calibri"/>
        <family val="2"/>
      </rPr>
      <t>With the exception of the automobile, intercity transportation options require multiple modes to complete a trip.”</t>
    </r>
    <r>
      <rPr>
        <sz val="6"/>
        <color theme="1"/>
        <rFont val="Calibri"/>
        <family val="2"/>
      </rPr>
      <t xml:space="preserve"> _x000B_See: Volume 1 Bay Area to Central Valley HST Final Program EIR/EIS of 2008 [PDF 224] at:</t>
    </r>
    <r>
      <rPr>
        <sz val="6"/>
        <color rgb="FF0000FF"/>
        <rFont val="Calibri"/>
        <family val="2"/>
      </rPr>
      <t xml:space="preserve"> http://www.hsr.ca.gov/Programs/Environmental_Planning/bay_area_2008.html.</t>
    </r>
    <r>
      <rPr>
        <sz val="6"/>
        <color theme="1"/>
        <rFont val="Calibri"/>
        <family val="2"/>
      </rPr>
      <t xml:space="preserve">  Also see  p. 3.2-25 [PDF 250] of that document.  Only Auto travel does not require a modal change; therefore no access or egress times need be added to compute auto travel time.</t>
    </r>
  </si>
  <si>
    <r>
      <rPr>
        <sz val="6"/>
        <color theme="1"/>
        <rFont val="Calibri"/>
        <family val="2"/>
      </rPr>
      <t>The 15% uplift on an Auto round-trip is reasonable given that: 1) for a one-way trip, Table 1.2-3 p. 1-9 [PDF 82] of Bay Area to Central Valley Final Program EIR/EIS, May, 2008, at</t>
    </r>
    <r>
      <rPr>
        <sz val="6"/>
        <color indexed="18"/>
        <rFont val="Calibri"/>
        <family val="2"/>
      </rPr>
      <t>:</t>
    </r>
    <r>
      <rPr>
        <sz val="6"/>
        <color rgb="FF0000FF"/>
        <rFont val="Calibri"/>
        <family val="2"/>
      </rPr>
      <t xml:space="preserve"> http://www.hsr.ca.gov/Programs/Environmental_Planning/bay_area_2008.html,</t>
    </r>
    <r>
      <rPr>
        <sz val="6"/>
        <color indexed="18"/>
        <rFont val="Calibri"/>
        <family val="2"/>
      </rPr>
      <t xml:space="preserve"> </t>
    </r>
    <r>
      <rPr>
        <sz val="6"/>
        <color theme="1"/>
        <rFont val="Calibri"/>
        <family val="2"/>
      </rPr>
      <t>shows that between 2000 and 2030 an Auto trip’s Total Travel Time increases from 2% (Sacramento-San Jose) up to 6.9% for BUR-San Jose, with LA-SF at +5.6%, and 2) Americans lose 0%-30% of their daily commute on road traffic delays. See:</t>
    </r>
    <r>
      <rPr>
        <sz val="6"/>
        <color rgb="FF0000FF"/>
        <rFont val="Calibri"/>
        <family val="2"/>
      </rPr>
      <t xml:space="preserve"> http://abcnews.go.com/US/time-americans-waste-traffic/story?id=33313765 </t>
    </r>
  </si>
  <si>
    <t>Note that HSR miles here are 10miles longer than used to plot formula-based fares, as that will be only part of the Total Travel Cost for each of those routes -BART miles being incorporated into the Total Travel Costs.</t>
  </si>
  <si>
    <t>Oakland-Los Angeles/476miles</t>
  </si>
  <si>
    <t>Oakland-OC Gateway/490miles</t>
  </si>
  <si>
    <t>Oakland-Anaheim/503miles</t>
  </si>
  <si>
    <r>
      <t>These Run Times are from SFTBT to Palmdale, BUR, LAUS, OC Gateway and Anaheim.</t>
    </r>
    <r>
      <rPr>
        <b/>
        <sz val="6"/>
        <color theme="1"/>
        <rFont val="Calibri"/>
        <family val="2"/>
      </rPr>
      <t xml:space="preserve"> Note: Instead of the Prop1A promise (and conforming to a AB3034 requirement) of a Los Angeles Union Station-San Francisco TransBay Terminal trip of 160minutes (2hrs. 40min) the fastest ride is now 3hrs 8minutes (188minutes). </t>
    </r>
    <r>
      <rPr>
        <sz val="6"/>
        <color theme="1"/>
        <rFont val="Calibri"/>
        <family val="2"/>
      </rPr>
      <t xml:space="preserve">See Appendix 2, Table A.2.2, p. A-2 [PDF 62] of 2018 Business Plan, Ridership and Revenue Forecasting, Technical Supporting Document
"
</t>
    </r>
  </si>
  <si>
    <r>
      <rPr>
        <sz val="6"/>
        <color theme="1"/>
        <rFont val="Calibri"/>
        <family val="2"/>
      </rPr>
      <t>There is no planned HSR connection between LAUS and  Long Beach. The Metro Blue journey between Downtown Long Beach and Pershing Square (LAUS) takes 81minutes and costs $1.75. See:</t>
    </r>
    <r>
      <rPr>
        <sz val="6"/>
        <color rgb="FF0000FF"/>
        <rFont val="Calibri"/>
        <family val="2"/>
      </rPr>
      <t xml:space="preserve">https://media.metro.net/documents/5a366ef8-2013-4d21-8e6d-e7716ec50478.pdf </t>
    </r>
    <r>
      <rPr>
        <sz val="6"/>
        <color indexed="18"/>
        <rFont val="Calibri"/>
        <family val="2"/>
      </rPr>
      <t xml:space="preserve"> </t>
    </r>
    <r>
      <rPr>
        <sz val="6"/>
        <color theme="1"/>
        <rFont val="Calibri"/>
        <family val="2"/>
      </rPr>
      <t>The Amtrak LAUS-San Diego takes 170minutes and the fare is $35.50. See</t>
    </r>
    <r>
      <rPr>
        <sz val="6"/>
        <color indexed="18"/>
        <rFont val="Calibri"/>
        <family val="2"/>
      </rPr>
      <t>:</t>
    </r>
    <r>
      <rPr>
        <sz val="6"/>
        <color rgb="FF0000FF"/>
        <rFont val="Calibri"/>
        <family val="2"/>
      </rPr>
      <t xml:space="preserve"> https://www.amtrak.com/fares</t>
    </r>
  </si>
  <si>
    <r>
      <t>The source of $23 is the average for round-trip  access and egress costs is derived from:</t>
    </r>
    <r>
      <rPr>
        <i/>
        <sz val="6"/>
        <color theme="1"/>
        <rFont val="Calibri"/>
        <family val="2"/>
      </rPr>
      <t xml:space="preserve"> “As with air travel, both an access fee and an egress fee ranging from $15 to $31 round trip are part of the HST average total costs.”</t>
    </r>
    <r>
      <rPr>
        <sz val="6"/>
        <color theme="1"/>
        <rFont val="Calibri"/>
        <family val="2"/>
      </rPr>
      <t xml:space="preserve"> found on p. 3-2-30 [PDF 261] Bay Area to Central Valley HST Final Program EIR/EIS, Volume 1: Report, May 2008; prepared by the US Dept. of Transportation/Federal Railroad Administration and the California High-Speed Rail Authority found at:</t>
    </r>
    <r>
      <rPr>
        <sz val="6"/>
        <color rgb="FF0000FF"/>
        <rFont val="Calibri"/>
        <family val="2"/>
      </rPr>
      <t xml:space="preserve"> http://www.hsr.ca.gov/Programs/Environmental_Planning/bay_area_2008.htm</t>
    </r>
    <r>
      <rPr>
        <sz val="6"/>
        <color theme="1"/>
        <rFont val="Calibri"/>
        <family val="2"/>
      </rPr>
      <t>l.  Note: We assumed that this $23 includes parking as well as driving costs, or the costs of public conveyance to and from the Origin and Destination HSR stations</t>
    </r>
  </si>
  <si>
    <r>
      <t>See</t>
    </r>
    <r>
      <rPr>
        <sz val="6"/>
        <color theme="1"/>
        <rFont val="Calibri (Body)"/>
      </rPr>
      <t xml:space="preserve"> Independent Determination That the Travel Time Requirements of PROP 1A/AB3034 Cannot Be Met</t>
    </r>
    <r>
      <rPr>
        <u/>
        <sz val="6"/>
        <color theme="1"/>
        <rFont val="Verdana"/>
        <family val="2"/>
      </rPr>
      <t>,</t>
    </r>
    <r>
      <rPr>
        <sz val="6"/>
        <color theme="1"/>
        <rFont val="Verdana"/>
        <family val="2"/>
      </rPr>
      <t xml:space="preserve"> Paul S. Jones; March 13, 2015. Mileage for destinations south of LAUS only count going to LAUS</t>
    </r>
  </si>
  <si>
    <t>SJC-SAN</t>
  </si>
  <si>
    <r>
      <rPr>
        <sz val="6"/>
        <color theme="1"/>
        <rFont val="Calibri"/>
        <family val="2"/>
      </rPr>
      <t>Fight advance purchases found at:</t>
    </r>
    <r>
      <rPr>
        <sz val="6"/>
        <color indexed="18"/>
        <rFont val="Calibri"/>
        <family val="2"/>
      </rPr>
      <t xml:space="preserve"> </t>
    </r>
    <r>
      <rPr>
        <sz val="6"/>
        <color rgb="FF0000FF"/>
        <rFont val="Calibri"/>
        <family val="2"/>
      </rPr>
      <t>https://www.kayak.com/flights/</t>
    </r>
    <r>
      <rPr>
        <sz val="6"/>
        <color theme="1"/>
        <rFont val="Calibri"/>
        <family val="2"/>
      </rPr>
      <t>. See Screen Shots to/from folder</t>
    </r>
  </si>
  <si>
    <t>False Phase 1: Transfer Time for transport of passengers to San Francisco prior to taking HSR (minutes).  Does not include access or egress times</t>
  </si>
  <si>
    <t xml:space="preserve">The BART trip between Embarcadero SF and 12th St. Oakland takes 12minutes and costs $3.45.
 The Embarcadero BART station is three blocks from SFTBT, requiring a Tranfer Time of a 10minute walk and a 15minute wait for HSR at SFTBT. </t>
  </si>
  <si>
    <t>Note: Instead of the Prop1A promise (and conforming to a AB3034 requirement) of a Los Angeles Union Station-San Francisco TransBay Terminal trip of 160minutes (2hrs. 40min) the fastest ride is now 3hrs 8minutes (188minutes). See Appendix 2, Table A.2.2, p. A-2 [PDF 62] of 2018 Business Plan, Ridership and Revenue Forecasting, Technical Supporting Document</t>
  </si>
  <si>
    <t>San Francisco-Burbank/460miles</t>
  </si>
  <si>
    <t>San Jose-Long Beach/443miles</t>
  </si>
  <si>
    <t>Gilroy-Long Beach/413miles</t>
  </si>
  <si>
    <r>
      <t xml:space="preserve">In November 2011, ten months after its first meeting, the RTAP Chair’s presentation showed that HSR’s SF-LA Total Travel Time was 231minutes. Subtracting AB3034’s of 2hrs. 40minutes (160minutes) Run Time requirement leaves 71minutes, of access-egress time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 </t>
    </r>
    <r>
      <rPr>
        <sz val="6"/>
        <color rgb="FF0000FF"/>
        <rFont val="Calibri"/>
        <family val="2"/>
      </rPr>
      <t>http://iti.northwestern.edu/publications/Lipinski/2011/Morning2.pdf</t>
    </r>
  </si>
  <si>
    <t xml:space="preserve">One-way distances from San Francisco's East Bay (MTC's Alameda and Contra Costa counties-total pop. is 2.9million) during False Phase 1 - because Oakland CA's eighth most populated city and BART's extension to San Jose makes Oakland accessible two Bay Area HSR station.  Name of Origin and Destination and one-way HSR miles between the stations. Note that HSR miles are often longer than driving miles  </t>
  </si>
  <si>
    <r>
      <rPr>
        <sz val="6"/>
        <color theme="1"/>
        <rFont val="Calibri"/>
        <family val="2"/>
      </rPr>
      <t xml:space="preserve">The 12th St. Oakland Center to Embarcadero BART line takes 12minutes and costs $3.45. Found at: </t>
    </r>
    <r>
      <rPr>
        <sz val="6"/>
        <color indexed="12"/>
        <rFont val="Calibri"/>
        <family val="2"/>
      </rPr>
      <t xml:space="preserve">http://www.bart.gov/tickets/calculator. </t>
    </r>
    <r>
      <rPr>
        <sz val="6"/>
        <color theme="1"/>
        <rFont val="Calibri"/>
        <family val="2"/>
      </rPr>
      <t>There are no prior-to-HSR-travel in these calculations</t>
    </r>
  </si>
  <si>
    <r>
      <rPr>
        <sz val="6"/>
        <color theme="1"/>
        <rFont val="Calibri"/>
        <family val="2"/>
      </rPr>
      <t xml:space="preserve">The source of $23 is the average for round-trip  access and egress costs is derived from: </t>
    </r>
    <r>
      <rPr>
        <i/>
        <sz val="6"/>
        <color theme="1"/>
        <rFont val="Calibri"/>
        <family val="2"/>
      </rPr>
      <t>“As with air travel, both an access fee and an egress fee ranging from $15 to $31 round trip are part of the HST average total costs.”</t>
    </r>
    <r>
      <rPr>
        <sz val="6"/>
        <color theme="1"/>
        <rFont val="Calibri"/>
        <family val="2"/>
      </rPr>
      <t xml:space="preserve"> found on p. 3-2-30 [PDF 261] Bay Area to Central Valley HST Final Program EIR/EIS, Volume 1: Report, May 2008; prepared by the US Dept. of Transportation/Federal Railroad Administration and the California High-Speed Rail Authority found at</t>
    </r>
    <r>
      <rPr>
        <sz val="6"/>
        <color indexed="18"/>
        <rFont val="Calibri"/>
        <family val="2"/>
      </rPr>
      <t>:</t>
    </r>
    <r>
      <rPr>
        <sz val="6"/>
        <color rgb="FF0000FF"/>
        <rFont val="Calibri"/>
        <family val="2"/>
      </rPr>
      <t xml:space="preserve"> http://www.hsr.ca.gov/Programs/Environmental_Planning/bay_area_2008.html.</t>
    </r>
    <r>
      <rPr>
        <sz val="6"/>
        <color indexed="18"/>
        <rFont val="Calibri"/>
        <family val="2"/>
      </rPr>
      <t xml:space="preserve">  </t>
    </r>
    <r>
      <rPr>
        <sz val="6"/>
        <color theme="1"/>
        <rFont val="Calibri"/>
        <family val="2"/>
      </rPr>
      <t>Note: We assumed that this $23 includes parking as well as driving costs, or the costs of public conveyance to and from the Origin and Destination HSR stations</t>
    </r>
    <r>
      <rPr>
        <sz val="6"/>
        <color indexed="18"/>
        <rFont val="Calibri"/>
        <family val="2"/>
      </rPr>
      <t xml:space="preserve">
</t>
    </r>
  </si>
  <si>
    <r>
      <t>In November 2011, ten months after its first meeting, the RTAP Chair’s presentation showed that HSR’s SF-LA Total Travel Time was 231minutes. Subtracting AB3034’s of 2hrs. 40minutes (160minutes) Run Time requirement leaves 71minutes, of access-egress time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t>
    </r>
    <r>
      <rPr>
        <sz val="6"/>
        <color rgb="FF0000FF"/>
        <rFont val="Calibri"/>
        <family val="2"/>
      </rPr>
      <t xml:space="preserve"> http://iti.northwestern.edu/publications/Lipinski/2011/Morning2.pdf</t>
    </r>
    <r>
      <rPr>
        <sz val="6"/>
        <color theme="1"/>
        <rFont val="Calibri"/>
        <family val="2"/>
      </rPr>
      <t xml:space="preserve">
</t>
    </r>
  </si>
  <si>
    <r>
      <t>Based on miles used in</t>
    </r>
    <r>
      <rPr>
        <u/>
        <sz val="6"/>
        <color theme="1"/>
        <rFont val="Verdana"/>
        <family val="2"/>
      </rPr>
      <t xml:space="preserve"> </t>
    </r>
    <r>
      <rPr>
        <sz val="6"/>
        <color theme="1"/>
        <rFont val="Calibri (Body)"/>
      </rPr>
      <t>Independent Determination That the Travel Time Requirements of PROP 1A/AB3034 Cannot Be Met</t>
    </r>
    <r>
      <rPr>
        <sz val="6"/>
        <color theme="1"/>
        <rFont val="Verdana"/>
        <family val="2"/>
      </rPr>
      <t>, Paul S. Jones; March 13, 2015. All Oakland originated travel is from SFTBT to destination distances as the Oakland-SFTBT fare is counted elsewhere.</t>
    </r>
  </si>
  <si>
    <r>
      <rPr>
        <sz val="6"/>
        <color theme="1"/>
        <rFont val="Calibri"/>
        <family val="2"/>
      </rPr>
      <t>Fight advance purchases found at</t>
    </r>
    <r>
      <rPr>
        <sz val="6"/>
        <color indexed="18"/>
        <rFont val="Calibri"/>
        <family val="2"/>
      </rPr>
      <t xml:space="preserve">: </t>
    </r>
    <r>
      <rPr>
        <sz val="6"/>
        <color rgb="FF0000FF"/>
        <rFont val="Calibri"/>
        <family val="2"/>
      </rPr>
      <t>https://www.kayak.com/flights/</t>
    </r>
    <r>
      <rPr>
        <sz val="6"/>
        <color indexed="18"/>
        <rFont val="Calibri"/>
        <family val="2"/>
      </rPr>
      <t xml:space="preserve">. </t>
    </r>
    <r>
      <rPr>
        <sz val="6"/>
        <color theme="1"/>
        <rFont val="Calibri"/>
        <family val="2"/>
      </rPr>
      <t>See Screen Shots to/from folder</t>
    </r>
    <r>
      <rPr>
        <sz val="6"/>
        <color indexed="18"/>
        <rFont val="Calibri"/>
        <family val="2"/>
      </rPr>
      <t xml:space="preserve">
</t>
    </r>
  </si>
  <si>
    <t>Sacramento-Los Angeles/440miles</t>
  </si>
  <si>
    <r>
      <rPr>
        <i/>
        <sz val="7"/>
        <color theme="1"/>
        <rFont val="Calibri (Body)_x0000_"/>
      </rPr>
      <t>"Unlike common carrier transportation modes (air, bus, or rail), the automobile does not require or depend on intermodal connections to get from the trip origin to the trip destination."</t>
    </r>
    <r>
      <rPr>
        <sz val="7"/>
        <color theme="1"/>
        <rFont val="Calibri (Body)_x0000_"/>
      </rPr>
      <t xml:space="preserve"> See p. 3.2-25 [PDF 252] of Bay Area to Central Valley Final Program EIR/EIS, May, 2008.  Driving distances and times are measured from Sacramento's Amtrak Valley  station, to SCAG and SANDG cities' Amtrak stations.  All found at: </t>
    </r>
    <r>
      <rPr>
        <sz val="7"/>
        <color rgb="FF0000FF"/>
        <rFont val="Calibri (Body)_x0000_"/>
      </rPr>
      <t>https://www.google.com/maps/</t>
    </r>
  </si>
  <si>
    <t xml:space="preserve">False Phase 1:     Run Times on Authority Dedicated Bus to Merced piror to HSR travel. Does not include access to HSR station times (minutes) </t>
  </si>
  <si>
    <t>False Phase 1:   Transfer Time of 15minutes in Merced to HSR train</t>
  </si>
  <si>
    <t>See Table A.2.1, p. A-2 [PDF 62] of 2018 Business Plan, Ridership and Revenue Forecasting, Technical Supporting Document</t>
  </si>
  <si>
    <r>
      <t xml:space="preserve">See note below Table A.2.1, p. A-3 [PDF 62] of 2018 Business Plan, Ridership and Revenue Forecasting, Technical Supporting Document that says, </t>
    </r>
    <r>
      <rPr>
        <i/>
        <sz val="6"/>
        <color theme="1"/>
        <rFont val="Calibri"/>
        <family val="2"/>
      </rPr>
      <t>"Transfer time at Merced 15"</t>
    </r>
  </si>
  <si>
    <t>False Phase 1:    HSR Run Times from the Merced HSR Station to SCAG destinations (minutes)</t>
  </si>
  <si>
    <t>See note belo Table A.2.2, p. A-2 [PDF 62] of 2018 Business Plan, Ridership and Revenue Forecasting, Technical Supporting Document</t>
  </si>
  <si>
    <r>
      <t xml:space="preserve">See p. 2-6 [PDF 26] of 2018 Business Plan, Ridership and Revenue Forecasting, Technical Supporting Document that says </t>
    </r>
    <r>
      <rPr>
        <i/>
        <sz val="6"/>
        <color theme="1"/>
        <rFont val="Calibri"/>
        <family val="2"/>
      </rPr>
      <t>"$10 from Sacramento, Elk Grove and Lodi to Madera." </t>
    </r>
    <r>
      <rPr>
        <sz val="6"/>
        <color theme="1"/>
        <rFont val="Calibri"/>
        <family val="2"/>
      </rPr>
      <t xml:space="preserve">No Dedicated Bus fare is given for Sacramento-Merced, so Authors assumed $10. However, Greyhound charges  $25 for a one-way ticket on that route, meaning the Authority fare is subsidized. See: </t>
    </r>
    <r>
      <rPr>
        <sz val="6"/>
        <color rgb="FF0000FF"/>
        <rFont val="Calibri"/>
        <family val="2"/>
      </rPr>
      <t>https://www.greyhound.com/en/ecommerce/schedule</t>
    </r>
    <r>
      <rPr>
        <sz val="6"/>
        <color theme="1"/>
        <rFont val="Calibri"/>
        <family val="2"/>
      </rPr>
      <t xml:space="preserve">
</t>
    </r>
  </si>
  <si>
    <t xml:space="preserve">Formulas for cost per mile found on p. 2-5 {PDF 25] of 2018 Business Plan Ridership and Revenue Forecasts, Technical Supporting Document
</t>
  </si>
  <si>
    <t xml:space="preserve">False Ph. 1:                     One-Way HSR miles based on distances between city pairs' rail stations. Based on Google maps and distances station-to-station mileage because Merced was not in Dr. Paul Jones study. </t>
  </si>
  <si>
    <t xml:space="preserve">One-way distances from Sacramento (SACOG) during False Phase 1 because, as California's capital, it generates more travel than its population suggests. Name of Origin and Destination and one-way HSR miles between the stations. Note that HSR miles are often longer than driving miles  </t>
  </si>
  <si>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All driving miles and times are measured from San Diego's Santa Fe Station (1050 Ketner Blvd) to Amtrak station at each destination. All found</t>
    </r>
    <r>
      <rPr>
        <sz val="7"/>
        <color indexed="18"/>
        <rFont val="Calibri"/>
        <family val="2"/>
      </rPr>
      <t xml:space="preserve"> at</t>
    </r>
    <r>
      <rPr>
        <sz val="7"/>
        <color indexed="12"/>
        <rFont val="Calibri"/>
        <family val="2"/>
      </rPr>
      <t>:https://www.google.com/maps/</t>
    </r>
    <r>
      <rPr>
        <sz val="7"/>
        <color indexed="18"/>
        <rFont val="Calibri"/>
        <family val="2"/>
      </rPr>
      <t xml:space="preserve"> </t>
    </r>
    <r>
      <rPr>
        <sz val="7"/>
        <color theme="1"/>
        <rFont val="Calibri"/>
        <family val="2"/>
      </rPr>
      <t>HSR miles are the actual miles a HSR passenger travels between stations</t>
    </r>
  </si>
  <si>
    <t>Amtrak's Pacific Surfliner runs only hourly, therefore a minimum of a 30minute wait</t>
  </si>
  <si>
    <t>See Appendix A.2, Table A.2.2, p. A-2 [PDF 62] of 2018 Business Plan, Ridership and Revenue Forecasting, Technical Supporting Document</t>
  </si>
  <si>
    <t>False Phase 1:     HSR Run Times between LAUS and specific destinations (minutes)</t>
  </si>
  <si>
    <r>
      <t xml:space="preserve">Based on miles used in </t>
    </r>
    <r>
      <rPr>
        <sz val="6"/>
        <color theme="1"/>
        <rFont val="Calibri (Body)"/>
      </rPr>
      <t>Independent Determination That the Travel Time Requirements of PROP 1A/AB3034 Cannot Be Met</t>
    </r>
    <r>
      <rPr>
        <sz val="6"/>
        <color theme="1"/>
        <rFont val="Verdana"/>
        <family val="2"/>
      </rPr>
      <t xml:space="preserve">, Paul S. Jones; March 13, 2015. For San Diego-Merced, the 59miles between Fresno and Merced is added to Dr. Jones' station-to-station mileage. Only LAUS-destination mileage is used for the computation as the San Diego-LAUS fares on Amtrak's Pacific Surfliner are computed eleswhere. </t>
    </r>
  </si>
  <si>
    <r>
      <t xml:space="preserve">San Diego-Madera/                         </t>
    </r>
    <r>
      <rPr>
        <b/>
        <sz val="8"/>
        <color indexed="8"/>
        <rFont val="Calibri"/>
        <family val="2"/>
      </rPr>
      <t xml:space="preserve">  </t>
    </r>
    <r>
      <rPr>
        <b/>
        <sz val="7"/>
        <color rgb="FF000000"/>
        <rFont val="Calibri"/>
        <family val="2"/>
      </rPr>
      <t>368miles</t>
    </r>
  </si>
  <si>
    <t xml:space="preserve">One-way distances traveled by an Authority passenger, including HSR, Authority Bus and other public transport.  Round-Trip Travel to/from San Diego during False Phase 1 because San Diego County is the 3rd most populated metro area in California.  Name of Origin and Destination and one-way HSR miles between the stations. Note that HSR miles are often longer than driving miles     </t>
  </si>
  <si>
    <r>
      <rPr>
        <sz val="6"/>
        <color theme="1"/>
        <rFont val="Calibri"/>
        <family val="2"/>
      </rPr>
      <t xml:space="preserve">See p. 2-6 [PDF 26] of 2018 Business Plan, Ridership and Revenue Forecasting, Technical Supporting Document that says "$10 from Sacramento, Elk Grove and Lodi to Madera." The Authors noted that the $10.00 and $1.00 Authority Bus fares are subsidized.  For example, the Sacramento-Merced fare by Greyhound cost $26, not the Authority's $10. The Authority's $1.00 Merced-Madera fare would cost $12 if on Greyhound. See: </t>
    </r>
    <r>
      <rPr>
        <sz val="6"/>
        <color rgb="FF0000FF"/>
        <rFont val="Calibri"/>
        <family val="2"/>
      </rPr>
      <t xml:space="preserve">https://www.greyhound.com/en/ecommerce/schedule </t>
    </r>
    <r>
      <rPr>
        <sz val="6"/>
        <color indexed="18"/>
        <rFont val="Calibri"/>
        <family val="2"/>
      </rPr>
      <t xml:space="preserve">				
</t>
    </r>
  </si>
  <si>
    <t>San Diego-Elk Grove/488miles</t>
  </si>
  <si>
    <t>San Diego-Modesto/418miles</t>
  </si>
  <si>
    <r>
      <t>The analyses of 11 Origins/Destination in the San Joaquin Valley, which includes Sacramento County, are those the Authority’s HSR trains or dedicated buses will serve from 2029-2040 - and where the Authority claims riders and revenues will come from.  They are also places where the Authority will displace Amtrak's San Joaquin subsidized rail service in 2029, therefore important to understand. Nineteen Counties (or parts of several) define the San Joaquin Valley: Butte, Colusa, Glenn, El Dorado, Fresno, Kings, Madera, Merced, Placer, San Joaquin, Sacramento, Shasta, Solano, Stanislaus, Sutter, Tehama, Tulare, Yuba, Yolo, and the Southern California county of Kern. See:</t>
    </r>
    <r>
      <rPr>
        <sz val="7"/>
        <color rgb="FF0000FF"/>
        <rFont val="Calibri (Body)_x0000_"/>
      </rPr>
      <t xml:space="preserve"> https://en.wikipedia.org/wiki/San_Joaquin_Valley </t>
    </r>
    <r>
      <rPr>
        <sz val="7"/>
        <color theme="1"/>
        <rFont val="Calibri"/>
        <family val="2"/>
        <scheme val="minor"/>
      </rPr>
      <t xml:space="preserve">
</t>
    </r>
  </si>
  <si>
    <r>
      <t>The analyses of 11 Origins/Destination in the San Joaquin Valley, which includes Sacramento County, are those the Authority’s HSR trains or dedicated buses will serve from 2029-2040 - and where the Authority claims riders and revenues will come from.  They are also places where the Authority will displace Amtrak's San Joaquin subsidized rail service in 2029, therefore important to understand. Nineteen Counties (or parts of several) define the San Joaquin Valley: Butte, Colusa, Glenn, El Dorado, Fresno, Kings, Madera, Merced, Placer, San Joaquin, Sacramento, Shasta, Solano, Stanislaus, Sutter, Tehama, Tulare, Yuba, Yolo, and the Southern California county of Kern. See:</t>
    </r>
    <r>
      <rPr>
        <sz val="8"/>
        <color rgb="FF0000FF"/>
        <rFont val="Calibri (Body)_x0000_"/>
      </rPr>
      <t xml:space="preserve"> https://en.wikipedia.org/wiki/San_Joaquin_Valley </t>
    </r>
    <r>
      <rPr>
        <sz val="8"/>
        <color theme="1"/>
        <rFont val="Calibri"/>
        <family val="2"/>
        <scheme val="minor"/>
      </rPr>
      <t xml:space="preserve">
</t>
    </r>
  </si>
  <si>
    <r>
      <rPr>
        <sz val="7.5"/>
        <color theme="1"/>
        <rFont val="Calibri"/>
        <family val="2"/>
      </rPr>
      <t>BART between the SF Embaracdero stop and Oakland's 12th Street Oakland City Center stop takes 12 minutes. See:</t>
    </r>
    <r>
      <rPr>
        <sz val="7.5"/>
        <color rgb="FF0000FF"/>
        <rFont val="Calibri"/>
        <family val="2"/>
      </rPr>
      <t xml:space="preserve"> http://www.bart.gov/schedules/bystation</t>
    </r>
  </si>
  <si>
    <t xml:space="preserve">Based on miles used in Independent Determination That the Travel Time Requirements of PROP 1A/AB3034 Cannot Be Met, Paul S. Jones; March 13, 2015. For San Diego-Merced, the 59miles between Fresno and Merced is added to Dr. Jones' station-to-station mileage. Only LAUS-destination mileage is used for the computation as the San Diego-LAUS fares on Amtrak's Pacific Surfliner are computed eleswhere. </t>
  </si>
  <si>
    <r>
      <t xml:space="preserve">Based on miles used in </t>
    </r>
    <r>
      <rPr>
        <sz val="6"/>
        <color theme="1"/>
        <rFont val="Calibri (Body)_x0000_"/>
      </rPr>
      <t>Independent Determination That the Travel Time Requirements of PROP 1A/AB3034 Cannot Be Met</t>
    </r>
    <r>
      <rPr>
        <sz val="6"/>
        <color theme="1"/>
        <rFont val="Calibri"/>
        <family val="2"/>
        <scheme val="minor"/>
      </rPr>
      <t xml:space="preserve">, Paul S. Jones; March 13, 2015. For San Diego-Merced, the 71miles between Madera and Merced is added to Dr. Jones' station-to-station mileage. Only LAUS-destination mileage is used for the computation as the San Diego-LAUS fares on Amtrak's Pacific Surfliner are computed eleswhere. </t>
    </r>
  </si>
  <si>
    <t>False Phase 1             $$s paid round-trip per HSR rider more than each of two Auto occupants. HSR fares based on Table 2.2. Auto costs based on [110% of 23¢/mile (25¢/mile)/2 occupants]</t>
  </si>
  <si>
    <t>False Phase 1        $$s paid round-trip per HSR passenger more than Auto driver. HSR fares based on Table 2.2. Complete Auto costs based on 23¢/mile</t>
  </si>
  <si>
    <t>False Phase 1:                     Only one-Way HSR miles based on distances from LAUS to Merced or SFTBT (other portions of the route's fares are counted elsewhwere) since only this portion is used in the formula</t>
  </si>
  <si>
    <r>
      <rPr>
        <i/>
        <sz val="7"/>
        <color theme="1"/>
        <rFont val="Calibri (Body)_x0000_"/>
      </rPr>
      <t>"Unlike common carrier transportation modes (air, bus, or rail), the automobile does not require or depend on intermodal connections to get from the trip origin to the trip destination."</t>
    </r>
    <r>
      <rPr>
        <sz val="7"/>
        <color theme="1"/>
        <rFont val="Calibri (Body)_x0000_"/>
      </rPr>
      <t xml:space="preserve"> See p. 3.2-25 [PDF 252] of Bay Area to Central Valley Final Program EIR/EIS, May, 2008. All driving distances and driving times are from Monterey's Greyhound Bus Station to San Jose's Diridon Station. Distances and driving times found at:</t>
    </r>
    <r>
      <rPr>
        <sz val="7"/>
        <color rgb="FF0000FF"/>
        <rFont val="Calibri (Body)_x0000_"/>
      </rPr>
      <t xml:space="preserve"> https://www.google.com/maps/.  </t>
    </r>
    <r>
      <rPr>
        <sz val="7"/>
        <color theme="1"/>
        <rFont val="Calibri (Body)_x0000_"/>
      </rPr>
      <t>_x000B_</t>
    </r>
  </si>
  <si>
    <r>
      <rPr>
        <i/>
        <sz val="6"/>
        <color theme="1"/>
        <rFont val="Calibri"/>
        <family val="2"/>
      </rPr>
      <t>“With the exception of the automobile, intercity transportation options require multiple modes to complete a trip.” _x000B_</t>
    </r>
    <r>
      <rPr>
        <sz val="6"/>
        <color theme="1"/>
        <rFont val="Calibri"/>
        <family val="2"/>
      </rPr>
      <t>See: Volume 1 Bay Area to Central Valley HST Final Program EIR/EIS of 2008 [PDF 224] at</t>
    </r>
    <r>
      <rPr>
        <i/>
        <sz val="6"/>
        <color theme="1"/>
        <rFont val="Calibri"/>
        <family val="2"/>
      </rPr>
      <t xml:space="preserve">: </t>
    </r>
    <r>
      <rPr>
        <i/>
        <sz val="6"/>
        <color indexed="12"/>
        <rFont val="Calibri"/>
        <family val="2"/>
      </rPr>
      <t>http://www.hsr.ca.gov/Programs/Environmental_Planning/bay_area_2008.htm</t>
    </r>
    <r>
      <rPr>
        <i/>
        <sz val="6"/>
        <color indexed="18"/>
        <rFont val="Calibri"/>
        <family val="2"/>
      </rPr>
      <t>l.</t>
    </r>
    <r>
      <rPr>
        <i/>
        <sz val="6"/>
        <color theme="1"/>
        <rFont val="Calibri"/>
        <family val="2"/>
      </rPr>
      <t xml:space="preserve"> </t>
    </r>
    <r>
      <rPr>
        <sz val="6"/>
        <color theme="1"/>
        <rFont val="Calibri"/>
        <family val="2"/>
      </rPr>
      <t xml:space="preserve">Also see  p. 3.2-25 [PDF 250] of that document. Only Auto travel does not require a modal change; therefore no access or egress times need be added to compute auto travel time.
</t>
    </r>
    <r>
      <rPr>
        <sz val="6"/>
        <color indexed="18"/>
        <rFont val="Calibri"/>
        <family val="2"/>
      </rPr>
      <t xml:space="preserve">
"</t>
    </r>
  </si>
  <si>
    <r>
      <rPr>
        <sz val="6"/>
        <color theme="1"/>
        <rFont val="Calibri"/>
        <family val="2"/>
      </rPr>
      <t>"The 15% uplift on an Auto round-trip is reasonable given that: 1) for a one-way trip, Table 1.2-3 p. 1-9 [PDF 82] of Bay Area to Central Valley Final Program EIR/EIS, May, 2008 at</t>
    </r>
    <r>
      <rPr>
        <sz val="6"/>
        <color indexed="18"/>
        <rFont val="Calibri"/>
        <family val="2"/>
      </rPr>
      <t xml:space="preserve">: </t>
    </r>
    <r>
      <rPr>
        <sz val="6"/>
        <color rgb="FF0000FF"/>
        <rFont val="Calibri"/>
        <family val="2"/>
      </rPr>
      <t>http://www.hsr.ca.gov/Programs/Environmental_Planning/bay_area_2008.html</t>
    </r>
    <r>
      <rPr>
        <sz val="6"/>
        <color indexed="18"/>
        <rFont val="Calibri"/>
        <family val="2"/>
      </rPr>
      <t xml:space="preserve"> </t>
    </r>
    <r>
      <rPr>
        <sz val="6"/>
        <color theme="1"/>
        <rFont val="Calibri"/>
        <family val="2"/>
      </rPr>
      <t>shows that between 2000 and 2030 an Auto trip’s Total Travel Time increases from 2% (Sacramento-San Jose) up to 6.9% for BUR-San Jose, with LA-SF at +5.6%, and 2) Americans lose 0%-30% of their daily commute on road traffic delays. See:</t>
    </r>
    <r>
      <rPr>
        <sz val="6"/>
        <color indexed="18"/>
        <rFont val="Calibri"/>
        <family val="2"/>
      </rPr>
      <t xml:space="preserve"> </t>
    </r>
    <r>
      <rPr>
        <sz val="6"/>
        <color rgb="FF0000FF"/>
        <rFont val="Calibri"/>
        <family val="2"/>
      </rPr>
      <t>http://abcnews.go.com/US/time-americans-waste-traffic/story?id=33313765</t>
    </r>
    <r>
      <rPr>
        <sz val="6"/>
        <color indexed="18"/>
        <rFont val="Calibri"/>
        <family val="2"/>
      </rPr>
      <t xml:space="preserve"> 
"</t>
    </r>
  </si>
  <si>
    <r>
      <rPr>
        <sz val="7"/>
        <color theme="1"/>
        <rFont val="Calibri"/>
        <family val="2"/>
      </rPr>
      <t xml:space="preserve"> Travel to/from Monterey, defined as one of the "Other Regions" in Table 3.2-12 on p. 3.2-25 of Volume 1, Bay Area to Central Valley Program EIR/EIS of 2008 [PDF 252] found at</t>
    </r>
    <r>
      <rPr>
        <sz val="7"/>
        <rFont val="Calibri"/>
        <family val="2"/>
      </rPr>
      <t>:</t>
    </r>
    <r>
      <rPr>
        <sz val="7"/>
        <color indexed="12"/>
        <rFont val="Calibri"/>
        <family val="2"/>
      </rPr>
      <t xml:space="preserve"> http://www.hsr.ca.gov/docs/programs/bay_area_eir/BayCValley08_EIR_finalHST_vol1.pdf.</t>
    </r>
    <r>
      <rPr>
        <sz val="7"/>
        <color theme="1"/>
        <rFont val="Calibri"/>
        <family val="2"/>
      </rPr>
      <t xml:space="preserve"> Note: Journeys begin in Monterey. The city where the HSR journey always begins is San Jose, nearest HSR stop to Monterey.</t>
    </r>
  </si>
  <si>
    <r>
      <rPr>
        <sz val="6"/>
        <color theme="1"/>
        <rFont val="Calibri"/>
        <family val="2"/>
      </rPr>
      <t>For Greyhound bus service schedules and costs between Origins and the nearest HSR station. See:</t>
    </r>
    <r>
      <rPr>
        <sz val="6"/>
        <color indexed="12"/>
        <rFont val="Calibri"/>
        <family val="2"/>
      </rPr>
      <t xml:space="preserve"> https://www.greyhound.com/en/ecommerce/schedule</t>
    </r>
  </si>
  <si>
    <r>
      <rPr>
        <sz val="6"/>
        <color theme="1"/>
        <rFont val="Calibri"/>
        <family val="2"/>
      </rPr>
      <t xml:space="preserve">See: A.2.2 p. A-2 [PDF 62] of the 2018 Ridership and Revenue Forecasting, Technical Supporting Document that says </t>
    </r>
    <r>
      <rPr>
        <i/>
        <sz val="6"/>
        <color theme="1"/>
        <rFont val="Calibri"/>
        <family val="2"/>
      </rPr>
      <t xml:space="preserve">"High-Speed Rail Patterns." </t>
    </r>
    <r>
      <rPr>
        <sz val="6"/>
        <color theme="1"/>
        <rFont val="Calibri"/>
        <family val="2"/>
      </rPr>
      <t>During False Phase 1, San Jose-Sacramento is actually San Jose-Madera and San Jose-San Diego is San Jose-LAUS</t>
    </r>
  </si>
  <si>
    <t>False Phase 1:       Round-Trip HSR Run Times plus other Authority-offered transport modes.</t>
  </si>
  <si>
    <r>
      <rPr>
        <sz val="6"/>
        <color theme="1"/>
        <rFont val="Calibri"/>
        <family val="2"/>
      </rPr>
      <t>For Greyhound bus service schedules and costs between Monterey and San Jose, the nearest HSR station, see</t>
    </r>
    <r>
      <rPr>
        <sz val="6"/>
        <color indexed="18"/>
        <rFont val="Calibri"/>
        <family val="2"/>
      </rPr>
      <t>:</t>
    </r>
    <r>
      <rPr>
        <sz val="6"/>
        <color indexed="12"/>
        <rFont val="Calibri"/>
        <family val="2"/>
      </rPr>
      <t xml:space="preserve"> https://www.greyhound.com/en/ecommerce/schedule</t>
    </r>
  </si>
  <si>
    <t>Monterey-San Francisco/169miles</t>
  </si>
  <si>
    <t>Monterey-Fresno/225miles</t>
  </si>
  <si>
    <t>Montereya-Sacramento/396miles</t>
  </si>
  <si>
    <t>Monterey-Los Angeles/492miles</t>
  </si>
  <si>
    <t>Monterey-San Diego/612miles</t>
  </si>
  <si>
    <t>Monterey-San Francisco/                                       169miles</t>
  </si>
  <si>
    <t>Percent of Total Travel Time on high-speed rail - includes 15minutes of Transfer Time</t>
  </si>
  <si>
    <r>
      <rPr>
        <sz val="7"/>
        <color theme="1"/>
        <rFont val="Calibri"/>
        <family val="2"/>
      </rPr>
      <t xml:space="preserve"> Travel to/from Central Coast, defined as one of the "Other Regions" in Table 3.2-12 on p. 3.2-25 of Volume 1, Bay Area to Central Valley Program EIR/EIS of 2008 [PDF 252] found at: </t>
    </r>
    <r>
      <rPr>
        <sz val="7"/>
        <color rgb="FF0000FF"/>
        <rFont val="Calibri"/>
        <family val="2"/>
      </rPr>
      <t>http://www.hsr.ca.gov/docs/programs/bay_area_eir/BayCValley08_EIR_finalHST_vol1.pdf.</t>
    </r>
    <r>
      <rPr>
        <sz val="7"/>
        <color indexed="12"/>
        <rFont val="Calibri"/>
        <family val="2"/>
      </rPr>
      <t xml:space="preserve"> </t>
    </r>
    <r>
      <rPr>
        <sz val="7"/>
        <color indexed="18"/>
        <rFont val="Calibri"/>
        <family val="2"/>
      </rPr>
      <t>T</t>
    </r>
    <r>
      <rPr>
        <sz val="7"/>
        <color theme="1"/>
        <rFont val="Calibri"/>
        <family val="2"/>
      </rPr>
      <t>he city chosen to represent the Central Coast is Santa Barbara. The city where the HSR journey always begins is Los Angeles, the nearest HSR stop to Santa Barbara.</t>
    </r>
  </si>
  <si>
    <r>
      <rPr>
        <i/>
        <sz val="7"/>
        <color theme="1"/>
        <rFont val="Calibri"/>
        <family val="2"/>
      </rPr>
      <t xml:space="preserve">"Unlike common carrier transportation modes (air, bus, or rail), the automobile does not require or depend on intermodal connections to get from the trip origin to the trip destination." </t>
    </r>
    <r>
      <rPr>
        <sz val="7"/>
        <color theme="1"/>
        <rFont val="Calibri"/>
        <family val="2"/>
      </rPr>
      <t xml:space="preserve">See p. 3.2-25 [PDF 252] of Bay Area to Central Valley Final Program EIR/EIS, May, 2008.  All driving distances and driving times are from Santa Barbara's Greyhound Bus Station to LA Unon Station. Distances and driving times found at: </t>
    </r>
    <r>
      <rPr>
        <sz val="7"/>
        <color rgb="FF0000FF"/>
        <rFont val="Calibri"/>
        <family val="2"/>
      </rPr>
      <t>https://www.google.com/maps/.  _x000B_</t>
    </r>
  </si>
  <si>
    <r>
      <rPr>
        <sz val="6"/>
        <color theme="1"/>
        <rFont val="Calibri"/>
        <family val="2"/>
      </rPr>
      <t>For Greyhound bus service schedules and costs between Origins and the nearest HSR station, see</t>
    </r>
    <r>
      <rPr>
        <sz val="6"/>
        <color indexed="18"/>
        <rFont val="Calibri"/>
        <family val="2"/>
      </rPr>
      <t>:</t>
    </r>
    <r>
      <rPr>
        <sz val="6"/>
        <color indexed="12"/>
        <rFont val="Calibri"/>
        <family val="2"/>
      </rPr>
      <t xml:space="preserve"> https://www.greyhound.com/en/ecommerce/schedule. </t>
    </r>
    <r>
      <rPr>
        <sz val="6"/>
        <color theme="1"/>
        <rFont val="Calibri"/>
        <family val="2"/>
      </rPr>
      <t>The one way Run time fare Santa Barbara - Los Angeles is 125 minutes and fare is $13 (See Greyhound Bus Screen Shots)</t>
    </r>
  </si>
  <si>
    <r>
      <rPr>
        <sz val="6"/>
        <color theme="1"/>
        <rFont val="Calibri"/>
        <family val="2"/>
      </rPr>
      <t xml:space="preserve">For Greyhound bus service schedules and costs between Origins and the nearest HSR station, see: </t>
    </r>
    <r>
      <rPr>
        <sz val="6"/>
        <color indexed="12"/>
        <rFont val="Calibri"/>
        <family val="2"/>
      </rPr>
      <t xml:space="preserve">https://www.greyhound.com/en/ecommerce/schedule. </t>
    </r>
    <r>
      <rPr>
        <sz val="6"/>
        <color theme="1"/>
        <rFont val="Calibri"/>
        <family val="2"/>
      </rPr>
      <t>The one way fare Santa Barbara - Los Angeles is $12</t>
    </r>
  </si>
  <si>
    <t>False Phase 1:                 Round-Trip Formula Based HSR Fares and $23 for access+egress costs</t>
  </si>
  <si>
    <r>
      <rPr>
        <sz val="7"/>
        <color theme="1"/>
        <rFont val="Calibri"/>
        <family val="2"/>
      </rPr>
      <t xml:space="preserve"> Travel to/from Far North, defined as one of the "Other Regions" in Table 3.2-12 on p. 3.2-25 of Volume 1, Bay Area to Central Valley Program EIR/EIS of 2008 [PDF 252] found</t>
    </r>
    <r>
      <rPr>
        <sz val="7"/>
        <color indexed="18"/>
        <rFont val="Calibri"/>
        <family val="2"/>
      </rPr>
      <t xml:space="preserve"> at</t>
    </r>
    <r>
      <rPr>
        <sz val="7"/>
        <rFont val="Calibri"/>
        <family val="2"/>
      </rPr>
      <t>:</t>
    </r>
    <r>
      <rPr>
        <sz val="7"/>
        <color indexed="12"/>
        <rFont val="Calibri"/>
        <family val="2"/>
      </rPr>
      <t xml:space="preserve"> http://www.hsr.ca.gov/docs/programs/bay_area_eir/BayCValley08_EIR_finalHST_vol1.pdf. </t>
    </r>
    <r>
      <rPr>
        <sz val="7"/>
        <color theme="1"/>
        <rFont val="Calibri"/>
        <family val="2"/>
      </rPr>
      <t>The Far North city where the journey begins is Redding. The city the HSR portion of the journey always begins is Sacramento, nearest HSR stop to Redding.</t>
    </r>
  </si>
  <si>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All driving distances and driving times are from Redding's Greyhound Bus Station to LA Unon Station. Distances and driving times found at:</t>
    </r>
    <r>
      <rPr>
        <sz val="7"/>
        <color indexed="12"/>
        <rFont val="Calibri"/>
        <family val="2"/>
      </rPr>
      <t xml:space="preserve"> https://www.google.com/maps/.</t>
    </r>
    <r>
      <rPr>
        <sz val="7"/>
        <color indexed="18"/>
        <rFont val="Calibri"/>
        <family val="2"/>
      </rPr>
      <t xml:space="preserve">  _x000B_</t>
    </r>
  </si>
  <si>
    <t>False Phase 1:                     One-way Distances in driving miles from the Redding Origin to designated Destination in the major regions where HSR Ridership and Revenue are claimed</t>
  </si>
  <si>
    <r>
      <rPr>
        <sz val="6"/>
        <color theme="1"/>
        <rFont val="Calibri"/>
        <family val="2"/>
      </rPr>
      <t>For Greyhound bus service schedules and costs between Origins and the nearest HSR station, see</t>
    </r>
    <r>
      <rPr>
        <sz val="6"/>
        <color indexed="18"/>
        <rFont val="Calibri"/>
        <family val="2"/>
      </rPr>
      <t>:</t>
    </r>
    <r>
      <rPr>
        <sz val="6"/>
        <color indexed="12"/>
        <rFont val="Calibri"/>
        <family val="2"/>
      </rPr>
      <t xml:space="preserve"> https://www.greyhound.com/en/ecommerce/schedule. </t>
    </r>
    <r>
      <rPr>
        <sz val="6"/>
        <color theme="1"/>
        <rFont val="Calibri"/>
        <family val="2"/>
      </rPr>
      <t>The fastest Redding-Sacramento time is 2hours 40minutes (160minutes) and the one way fare Redding-Sacramento is $30</t>
    </r>
  </si>
  <si>
    <t>The Transfer Time in LAUS or San Diego for Amtrak's Pacific Surfliner is 30minutes as that train runs hourly. The Amtrak Pacific Surfliner's Run Time San Diego-LAUS is 170minutes</t>
  </si>
  <si>
    <r>
      <rPr>
        <sz val="6"/>
        <color theme="1"/>
        <rFont val="Calibri"/>
        <family val="2"/>
      </rPr>
      <t>The fastest Greyhound bus service Redding-Sacramento time is 2hours 40minutes (160minutes) and the one way fare Redding-Sacramento is $34:  see:</t>
    </r>
    <r>
      <rPr>
        <sz val="6"/>
        <color rgb="FF0000FF"/>
        <rFont val="Calibri"/>
        <family val="2"/>
      </rPr>
      <t xml:space="preserve"> https://www.greyhound.com/en/ecommerce/schedule </t>
    </r>
  </si>
  <si>
    <r>
      <rPr>
        <sz val="6"/>
        <color theme="1"/>
        <rFont val="Calibri"/>
        <family val="2"/>
      </rPr>
      <t>Note: The $10.00 and $1.00 Authority Bus fares are subsidized.  For example, the Sacramento-Merced fare by Greyhound cost $26, not the Authority's $10. The Authority's $1.00 Merced-Madera fare would cost $12 if on Greyhound. See:</t>
    </r>
    <r>
      <rPr>
        <sz val="6"/>
        <color rgb="FF0000FF"/>
        <rFont val="Calibri"/>
        <family val="2"/>
      </rPr>
      <t xml:space="preserve"> https://www.greyhound.com/en/ecommerce/schedule 	</t>
    </r>
    <r>
      <rPr>
        <sz val="6"/>
        <color indexed="18"/>
        <rFont val="Calibri"/>
        <family val="2"/>
      </rPr>
      <t xml:space="preserve">			</t>
    </r>
  </si>
  <si>
    <t>Since Dr. Jones' paper did not address Fresno-Merced; therefore 59miles are added to the totals of Fresno-San Jose, Fresno-LA Union (for both the LA and San Diego destinations)</t>
  </si>
  <si>
    <r>
      <rPr>
        <sz val="7"/>
        <color theme="1"/>
        <rFont val="Calibri"/>
        <family val="2"/>
      </rPr>
      <t xml:space="preserve"> Travel to/from West Sierra Nevada, defined as one of the "Other Regions" in Table 3.2-12 on p. 3.2-25 of Volume 1, Bay Area to Central Valley Program EIR/EIS of 2008 [PDF 252] found at:</t>
    </r>
    <r>
      <rPr>
        <sz val="7"/>
        <color indexed="12"/>
        <rFont val="Calibri"/>
        <family val="2"/>
      </rPr>
      <t xml:space="preserve"> http://www.hsr.ca.gov/docs/programs/bay_area_eir/BayCValley08_EIR_finalHST_vol1.pdf. </t>
    </r>
    <r>
      <rPr>
        <sz val="7"/>
        <color indexed="18"/>
        <rFont val="Calibri"/>
        <family val="2"/>
      </rPr>
      <t xml:space="preserve">The West Sierra Nevada city where the journey begins is South Lake Tahoe. </t>
    </r>
    <r>
      <rPr>
        <sz val="7"/>
        <color theme="1"/>
        <rFont val="Calibri"/>
        <family val="2"/>
      </rPr>
      <t>The HSR portion of the journey always begins is Sacramento, the nearest HSR stop to South Lake Tahoe.</t>
    </r>
  </si>
  <si>
    <r>
      <rPr>
        <i/>
        <sz val="7"/>
        <color theme="1"/>
        <rFont val="Calibri"/>
        <family val="2"/>
      </rPr>
      <t xml:space="preserve">"Unlike common carrier transportation modes (air, bus, or rail), the automobile does not require or depend on intermodal connections to get from the trip origin to the trip destination." </t>
    </r>
    <r>
      <rPr>
        <sz val="7"/>
        <color theme="1"/>
        <rFont val="Calibri"/>
        <family val="2"/>
      </rPr>
      <t xml:space="preserve">See p. 3.2-25 [PDF 252] of Bay Area to Central Valley Final Program EIR/EIS, May, 2008.  All driving distances and driving times are from South Lake Tahoe. Distances and driving times found at: </t>
    </r>
    <r>
      <rPr>
        <sz val="7"/>
        <color indexed="12"/>
        <rFont val="Calibri"/>
        <family val="2"/>
      </rPr>
      <t>https://www.google.com/maps/.</t>
    </r>
    <r>
      <rPr>
        <sz val="7"/>
        <color indexed="18"/>
        <rFont val="Calibri"/>
        <family val="2"/>
      </rPr>
      <t xml:space="preserve">  _x000B_</t>
    </r>
  </si>
  <si>
    <r>
      <rPr>
        <sz val="6"/>
        <color theme="1"/>
        <rFont val="Calibri"/>
        <family val="2"/>
      </rPr>
      <t>For Greyhound bus service schedules and costs between South Lake Tahoe (closest station is Truckee, CA) and the nearest HSR station (Sacramento) takes 2hours 35minutes and costs $30.  See:</t>
    </r>
    <r>
      <rPr>
        <sz val="6"/>
        <color rgb="FF0000FF"/>
        <rFont val="Calibri"/>
        <family val="2"/>
      </rPr>
      <t xml:space="preserve"> https://www.greyhound.com/en/ecommerce/schedule </t>
    </r>
  </si>
  <si>
    <t>The Sacramento-Merced Authority Dedicated Bus Run Time is 200minutes. See Appendix A.2, Table A.2.1, p. A-2, [PDF 62] of the 2018 Ridership and Revenue Forcasting, Technical Supporting Document</t>
  </si>
  <si>
    <t>False Phase 1:         Transfer Time in LAUS (30minutes) + LAUS-San Diego Run Time (170minutes)</t>
  </si>
  <si>
    <t>False Phase 1:    Transfer Times in Sacramento to board Authority Bus to Merced (minutes)</t>
  </si>
  <si>
    <t>Transfer Time at LAUS is 30minutes as the Amtrak Pacific Surfliner only runs hourly.</t>
  </si>
  <si>
    <r>
      <rPr>
        <sz val="6"/>
        <color theme="1"/>
        <rFont val="Calibri"/>
        <family val="2"/>
      </rPr>
      <t>For Greyhound bus service schedules and costs between Truckee and the nearest HSR station (Sacramento) see:</t>
    </r>
    <r>
      <rPr>
        <sz val="6"/>
        <color indexed="12"/>
        <rFont val="Calibri"/>
        <family val="2"/>
      </rPr>
      <t xml:space="preserve"> https://www.greyhound.com/en/ecommerce/schedule. </t>
    </r>
    <r>
      <rPr>
        <sz val="6"/>
        <color theme="1"/>
        <rFont val="Calibri"/>
        <family val="2"/>
      </rPr>
      <t>The fastest time is 2hours 35minutes and the one way fare South Lake Tahoe-Sacramento is $28</t>
    </r>
  </si>
  <si>
    <r>
      <rPr>
        <sz val="7"/>
        <color theme="1"/>
        <rFont val="Calibri"/>
        <family val="2"/>
      </rPr>
      <t xml:space="preserve"> Travel to/from the Yosemite Valley as another "Other Region"as defned in Table 3.2-12 on p. 3.2-25 of Volume 1, Bay Area to Central Valley Program EIR/EIS of 2008 [PDF 252] found at</t>
    </r>
    <r>
      <rPr>
        <sz val="7"/>
        <rFont val="Calibri"/>
        <family val="2"/>
      </rPr>
      <t>:</t>
    </r>
    <r>
      <rPr>
        <sz val="7"/>
        <color indexed="12"/>
        <rFont val="Calibri"/>
        <family val="2"/>
      </rPr>
      <t xml:space="preserve"> </t>
    </r>
    <r>
      <rPr>
        <sz val="7"/>
        <color rgb="FF0000FF"/>
        <rFont val="Calibri"/>
        <family val="2"/>
      </rPr>
      <t xml:space="preserve">http://www.hsr.ca.gov/docs/programs/bay_area_eir/BayCValley08_EIR_finalHST_vol1.pdf. </t>
    </r>
  </si>
  <si>
    <r>
      <rPr>
        <i/>
        <sz val="7"/>
        <color theme="1"/>
        <rFont val="Calibri"/>
        <family val="2"/>
      </rPr>
      <t>"Unlike common carrier transportation modes (air, bus, or rail), the automobile does not require or depend on intermodal connections to get from the trip origin to the trip destination."</t>
    </r>
    <r>
      <rPr>
        <sz val="7"/>
        <color theme="1"/>
        <rFont val="Calibri"/>
        <family val="2"/>
      </rPr>
      <t xml:space="preserve"> See p. 3.2-25 [PDF 252] of Bay Area to Central Valley Final Program EIR/EIS, May, 2008. Driving distances are measured from the Yosemite Valley Lodge to the Destination. Distances and driving times found at:</t>
    </r>
    <r>
      <rPr>
        <sz val="7"/>
        <color indexed="18"/>
        <rFont val="Calibri"/>
        <family val="2"/>
      </rPr>
      <t xml:space="preserve"> </t>
    </r>
    <r>
      <rPr>
        <sz val="7"/>
        <color rgb="FF0000FF"/>
        <rFont val="Calibri"/>
        <family val="2"/>
      </rPr>
      <t xml:space="preserve">https://www.google.com/maps/.  </t>
    </r>
  </si>
  <si>
    <t xml:space="preserve">False Phase 1:                     One-way Distances in driving miles from anb Origin designated "Other Region" to/from Yosemite Valley </t>
  </si>
  <si>
    <t>False Phase 1:                     Round-Trip driving mile distances from and returning to Yosemite Valley</t>
  </si>
  <si>
    <r>
      <rPr>
        <sz val="6"/>
        <color theme="1"/>
        <rFont val="Calibri"/>
        <family val="2"/>
      </rPr>
      <t>“With the exception of the automobile, intercity transportation options require multiple modes to complete a trip.” _x000B_See: Volume 1 Bay Area to Central Valley HST Final Program EIR/EIS of 2008 [PDF 224] at:</t>
    </r>
    <r>
      <rPr>
        <sz val="6"/>
        <color rgb="FF0000FF"/>
        <rFont val="Calibri"/>
        <family val="2"/>
      </rPr>
      <t xml:space="preserve"> http://www.hsr.ca.gov/Programs/Environmental_Planning/bay_area_2008.html</t>
    </r>
    <r>
      <rPr>
        <sz val="6"/>
        <color indexed="18"/>
        <rFont val="Calibri"/>
        <family val="2"/>
      </rPr>
      <t>. A</t>
    </r>
    <r>
      <rPr>
        <sz val="6"/>
        <color theme="1"/>
        <rFont val="Calibri"/>
        <family val="2"/>
      </rPr>
      <t xml:space="preserve">lso see  p. 3.2-25 [PDF 250] of that document. Only Auto travel does not require a modal change; therefore no access or egress times need be added to compute auto travel time.
</t>
    </r>
    <r>
      <rPr>
        <sz val="6"/>
        <color indexed="18"/>
        <rFont val="Calibri"/>
        <family val="2"/>
      </rPr>
      <t xml:space="preserve">
"</t>
    </r>
  </si>
  <si>
    <r>
      <rPr>
        <sz val="6"/>
        <color theme="1"/>
        <rFont val="Calibri"/>
        <family val="2"/>
      </rPr>
      <t>"The 15% uplift on an Auto round-trip is reasonable given that: 1) for a one-way trip, Table 1.2-3 p. 1-9 [PDF 82] of Bay Area to Central Valley Final Program EIR/EIS, May, 2008 at:</t>
    </r>
    <r>
      <rPr>
        <sz val="6"/>
        <color indexed="18"/>
        <rFont val="Calibri"/>
        <family val="2"/>
      </rPr>
      <t xml:space="preserve"> </t>
    </r>
    <r>
      <rPr>
        <sz val="6"/>
        <color rgb="FF0000FF"/>
        <rFont val="Calibri"/>
        <family val="2"/>
      </rPr>
      <t xml:space="preserve">http://www.hsr.ca.gov/Programs/Environmental_Planning/bay_area_2008.html </t>
    </r>
    <r>
      <rPr>
        <sz val="6"/>
        <color indexed="18"/>
        <rFont val="Calibri"/>
        <family val="2"/>
      </rPr>
      <t>s</t>
    </r>
    <r>
      <rPr>
        <sz val="6"/>
        <color theme="1"/>
        <rFont val="Calibri"/>
        <family val="2"/>
      </rPr>
      <t xml:space="preserve">hows that between 2000 and 2030 an Auto trip’s Total Travel Time increases from 2% (Sacramento-San Jose) up to 6.9% for BUR-San Jose, with LA-SF at +5.6%, and 2) Americans lose 0%-30% of their daily commute on road traffic delays. See: </t>
    </r>
    <r>
      <rPr>
        <sz val="6"/>
        <color rgb="FF0000FF"/>
        <rFont val="Calibri"/>
        <family val="2"/>
      </rPr>
      <t xml:space="preserve">http://abcnews.go.com/US/time-americans-waste-traffic/story?id=33313765 </t>
    </r>
    <r>
      <rPr>
        <sz val="6"/>
        <color indexed="18"/>
        <rFont val="Calibri"/>
        <family val="2"/>
      </rPr>
      <t xml:space="preserve">
"</t>
    </r>
  </si>
  <si>
    <t>Although  Greyhound buses run an hour or more apart, we assumed that, as with Authority Bus to HSR, a 15minute Transfer Time. For example, see Table A 2.1, p. A-2 PDF 62] of 2018 Business Plan's Ridership and Revenue Forecasting, Technical Supporting Document</t>
  </si>
  <si>
    <r>
      <t xml:space="preserve">In November 2011, ten months after its first meeting, the RTAP Chair’s presentation showed that HSR’s SF-LA Total Travel Time was 231minutes. Subtracting AB3034’s of 2hrs. 40minutes (160minutes) Run Time requirement leaves 71minutes, of access-egress time or round-trip access+egress times of 142minutes. See: PDF 47 of Polzin, Steven; Koppelman, Frank and Proussaloglou, Kimon: Forecasting Revenue and Ridership for High Speed Rail. High Speed Rail-Perspectives and Prospects, Fifth Annual William O. Lipinski Symposium on Transportation, November 14, 2011. Found at: </t>
    </r>
    <r>
      <rPr>
        <sz val="6"/>
        <color rgb="FF0000FF"/>
        <rFont val="Calibri (Body)_x0000_"/>
      </rPr>
      <t>http://iti.northwestern.edu/publications/Lipinski/2011/Morning2.pdf</t>
    </r>
    <r>
      <rPr>
        <sz val="6"/>
        <color theme="1"/>
        <rFont val="Calibri"/>
        <family val="2"/>
        <scheme val="minor"/>
      </rPr>
      <t xml:space="preserve">
</t>
    </r>
  </si>
  <si>
    <r>
      <t>The source of $23 is the average for round-trip  access and egress costs is derived from: “As with air travel, both an access fee and an egress fee ranging from $15 to $31 round trip are part of the HST average total costs.” found on p. 3-2-30 [PDF 261] Bay Area to Central Valley HST Final Program EIR/EIS, Volume 1: Report, May 2008; prepared by the US Dept. of Transportation/Federal Railroad Administration and the California High-Speed Rail Authority found at</t>
    </r>
    <r>
      <rPr>
        <sz val="6"/>
        <color rgb="FF0000FF"/>
        <rFont val="Calibri (Body)_x0000_"/>
      </rPr>
      <t>: http://www.hsr.ca.gov/Programs/Environmental_Planning/bay_area_2008.html</t>
    </r>
    <r>
      <rPr>
        <sz val="6"/>
        <color theme="1"/>
        <rFont val="Calibri"/>
        <family val="2"/>
        <scheme val="minor"/>
      </rPr>
      <t xml:space="preserve">.  Note: We assumed that this $23 includes parking as well as driving costs, or the costs of public conveyance to and from the Origin and Destination HSR stations
</t>
    </r>
  </si>
  <si>
    <r>
      <rPr>
        <sz val="6"/>
        <color theme="1"/>
        <rFont val="Calibri"/>
        <family val="2"/>
      </rPr>
      <t>Fight advance purchases found at</t>
    </r>
    <r>
      <rPr>
        <sz val="6"/>
        <color indexed="28"/>
        <rFont val="Calibri"/>
        <family val="2"/>
      </rPr>
      <t>:</t>
    </r>
    <r>
      <rPr>
        <sz val="6"/>
        <color rgb="FF0000FF"/>
        <rFont val="Calibri"/>
        <family val="2"/>
      </rPr>
      <t xml:space="preserve"> https://www.kayak.com/flights/</t>
    </r>
    <r>
      <rPr>
        <sz val="6"/>
        <color theme="1"/>
        <rFont val="Calibri"/>
        <family val="2"/>
      </rPr>
      <t>. See Screen Shots to/from folder</t>
    </r>
    <r>
      <rPr>
        <sz val="6"/>
        <color indexed="28"/>
        <rFont val="Calibri"/>
        <family val="2"/>
      </rPr>
      <t xml:space="preserve">
</t>
    </r>
  </si>
  <si>
    <t xml:space="preserve"> Travel to/from Other Regions-Other Regions, as riders are claimed in that category in Table 6.3, p. 6-6 [PDF 44] of the 2016 Business Plan's Ridership and Revenue Forecasting, Technical Supporting Document.</t>
  </si>
  <si>
    <r>
      <rPr>
        <i/>
        <sz val="7"/>
        <color theme="1"/>
        <rFont val="Calibri"/>
        <family val="2"/>
      </rPr>
      <t xml:space="preserve">"Unlike common carrier transportation modes (air, bus, or rail), the automobile does not require or depend on intermodal connections to get from the trip origin to the trip destination." </t>
    </r>
    <r>
      <rPr>
        <sz val="7"/>
        <color theme="1"/>
        <rFont val="Calibri"/>
        <family val="2"/>
      </rPr>
      <t>See p. 3.2-25 [PDF 252] of Bay Area to Central Valley Final Program EIR/EIS, May All drivDistances and driving times found at:</t>
    </r>
    <r>
      <rPr>
        <sz val="7"/>
        <color indexed="12"/>
        <rFont val="Calibri"/>
        <family val="2"/>
      </rPr>
      <t xml:space="preserve"> https://www.google.com/maps/.</t>
    </r>
    <r>
      <rPr>
        <sz val="7"/>
        <color indexed="18"/>
        <rFont val="Calibri"/>
        <family val="2"/>
      </rPr>
      <t xml:space="preserve">  _x000B_</t>
    </r>
  </si>
  <si>
    <r>
      <rPr>
        <i/>
        <sz val="6"/>
        <color theme="1"/>
        <rFont val="Calibri"/>
        <family val="2"/>
      </rPr>
      <t>“With the exception of the automobile, intercity transportation options require multiple modes to complete a trip.” _x000B_</t>
    </r>
    <r>
      <rPr>
        <sz val="6"/>
        <color theme="1"/>
        <rFont val="Calibri"/>
        <family val="2"/>
      </rPr>
      <t>See: Volume 1 Bay Area to Central Valley HST Final Program EIR/EIS of 2008 [PDF 224] at</t>
    </r>
    <r>
      <rPr>
        <i/>
        <sz val="6"/>
        <color theme="1"/>
        <rFont val="Calibri"/>
        <family val="2"/>
      </rPr>
      <t xml:space="preserve">: </t>
    </r>
    <r>
      <rPr>
        <i/>
        <sz val="6"/>
        <color indexed="12"/>
        <rFont val="Calibri"/>
        <family val="2"/>
      </rPr>
      <t>http://www.hsr.ca.gov/Programs/Environmental_Planning/bay_area_2008.htm</t>
    </r>
    <r>
      <rPr>
        <i/>
        <sz val="6"/>
        <color indexed="18"/>
        <rFont val="Calibri"/>
        <family val="2"/>
      </rPr>
      <t xml:space="preserve">l. </t>
    </r>
    <r>
      <rPr>
        <sz val="6"/>
        <color theme="1"/>
        <rFont val="Calibri"/>
        <family val="2"/>
      </rPr>
      <t>Also see  p. 3.2-25 [PDF 250] of that document. Only Auto travel does not require a modal change; therefore no access or egress times need be added to compute auto travel time.</t>
    </r>
    <r>
      <rPr>
        <sz val="6"/>
        <color indexed="18"/>
        <rFont val="Calibri"/>
        <family val="2"/>
      </rPr>
      <t xml:space="preserve">
"</t>
    </r>
  </si>
  <si>
    <r>
      <t>The 15% uplift on an Auto round-trip is reasonable given that: 1) for a one-way trip, Table 1.2-3 p. 1-9 [PDF 82] of Bay Area to Central Valley Final Program EIR/EIS, May, 2008, at:</t>
    </r>
    <r>
      <rPr>
        <sz val="6"/>
        <color rgb="FF0000FF"/>
        <rFont val="Calibri (Body)_x0000_"/>
      </rPr>
      <t xml:space="preserve"> http://www.hsr.ca.gov/Programs/Environmental_Planning/bay_area_2008.html</t>
    </r>
    <r>
      <rPr>
        <sz val="6"/>
        <color theme="1"/>
        <rFont val="Calibri"/>
        <family val="2"/>
        <scheme val="minor"/>
      </rPr>
      <t>, shows that between 2000 and 2030 an Auto trip’s Total Travel Time increases from 2% (Sacramento-San Jose) up to 6.9% for BUR-San Jose, with LA-SF at +5.6%, and 2) Americans lose 0%-30% of their daily commute on road traffic delays. See:</t>
    </r>
    <r>
      <rPr>
        <sz val="6"/>
        <color rgb="FF0000FF"/>
        <rFont val="Calibri (Body)_x0000_"/>
      </rPr>
      <t xml:space="preserve"> http://abcnews.go.com/US/time-americans-waste-traffic/story?id=33313765 </t>
    </r>
  </si>
  <si>
    <r>
      <rPr>
        <sz val="6"/>
        <color theme="1"/>
        <rFont val="Calibri"/>
        <family val="2"/>
      </rPr>
      <t>For no-change of bus Greyhound bus service schedules and costs between Monterey and San Jose and Santa Barbara and Los Angeles, see:</t>
    </r>
    <r>
      <rPr>
        <sz val="6"/>
        <color rgb="FF0000FF"/>
        <rFont val="Calibri"/>
        <family val="2"/>
      </rPr>
      <t xml:space="preserve"> https://www.greyhound.com/en/ecommerce/schedule </t>
    </r>
  </si>
  <si>
    <r>
      <rPr>
        <sz val="6"/>
        <color theme="1"/>
        <rFont val="Calibri"/>
        <family val="2"/>
      </rPr>
      <t>For no-change of bus Greyhound bus service schedules and costs between Monterey and San Jose and Santa Barbara and Los Angeles, see</t>
    </r>
    <r>
      <rPr>
        <sz val="6"/>
        <color rgb="FF0000FF"/>
        <rFont val="Calibri"/>
        <family val="2"/>
      </rPr>
      <t>: https://www.greyhound.com/en/ecommerce/schedule</t>
    </r>
    <r>
      <rPr>
        <sz val="6"/>
        <color indexed="12"/>
        <rFont val="Calibri"/>
        <family val="2"/>
      </rPr>
      <t xml:space="preserve">. </t>
    </r>
    <r>
      <rPr>
        <sz val="6"/>
        <color theme="1"/>
        <rFont val="Calibri"/>
        <family val="2"/>
      </rPr>
      <t>The Sacramento-Merced Authority Dedicated Bus takes 200minutes: see A.3.1, p. A-3 [PDF 63] of the 2016 Plan's Ridership and Revenue Forecasting, Technical Supporting Document.</t>
    </r>
  </si>
  <si>
    <r>
      <rPr>
        <sz val="6"/>
        <color theme="1"/>
        <rFont val="Calibri (Body)_x0000_"/>
      </rPr>
      <t>Greyhound's fastest one-way Sacramento-Redding time is 160minutes and the one way fare  is $30: Sacramento-Truckee takes 130minutes and costs $38: LA-Santa Barbara takes 130minutes and cost $13. See:</t>
    </r>
    <r>
      <rPr>
        <sz val="6"/>
        <color rgb="FF0000FF"/>
        <rFont val="Calibri"/>
        <family val="2"/>
        <scheme val="minor"/>
      </rPr>
      <t xml:space="preserve"> </t>
    </r>
    <r>
      <rPr>
        <sz val="6"/>
        <color rgb="FF0000FF"/>
        <rFont val="Calibri (Body)_x0000_"/>
      </rPr>
      <t>https://www.greyhound.com/en/ecommerce/schedul</t>
    </r>
    <r>
      <rPr>
        <sz val="6"/>
        <color rgb="FF0000FF"/>
        <rFont val="Calibri"/>
        <family val="2"/>
        <scheme val="minor"/>
      </rPr>
      <t>e</t>
    </r>
  </si>
  <si>
    <t>False Phase 1:              Fares before HSR travel: Monterey-San Jose and Santa Barbara-LAUS  (does not include access cost)</t>
  </si>
  <si>
    <r>
      <rPr>
        <sz val="6"/>
        <color theme="1"/>
        <rFont val="Calibri (Body)_x0000_"/>
      </rPr>
      <t>Greyhound's fastest one-way Sacramento-Redding time is 160minutes and the one way fare  is $30: Sacramento-Truckee takes 130minutes and costs $38: LA-Santa Barbara takes 130minutes and cost $13. See:</t>
    </r>
    <r>
      <rPr>
        <sz val="6"/>
        <color rgb="FF0000FF"/>
        <rFont val="Calibri (Body)_x0000_"/>
      </rPr>
      <t xml:space="preserve"> https://www.greyhound.com/en/ecommerce/schedul</t>
    </r>
    <r>
      <rPr>
        <sz val="6"/>
        <color theme="1"/>
        <rFont val="Calibri"/>
        <family val="2"/>
        <scheme val="minor"/>
      </rPr>
      <t>e</t>
    </r>
  </si>
  <si>
    <r>
      <t xml:space="preserve">The Auhority's Dedicated  Bus fare Sacramento-Merced is $10. The Greyhound bus fare LAUS-Santa Barbara is $12. See: </t>
    </r>
    <r>
      <rPr>
        <sz val="6"/>
        <color rgb="FF0000FF"/>
        <rFont val="Calibri"/>
        <family val="2"/>
      </rPr>
      <t>https://www.greyhound.com/en/ecommerce/schedule</t>
    </r>
    <r>
      <rPr>
        <sz val="6"/>
        <color indexed="8"/>
        <rFont val="Calibri"/>
        <family val="2"/>
      </rPr>
      <t xml:space="preserve">  Note: The $10.00  Authority Bus fare is subsidized.  For example, the Sacramento-Merced fare by Greyhound cost $26, not the Authority's $10. See:</t>
    </r>
    <r>
      <rPr>
        <sz val="6"/>
        <color rgb="FF0000FF"/>
        <rFont val="Calibri"/>
        <family val="2"/>
      </rPr>
      <t xml:space="preserve"> https://www.greyhound.com/en/ecommerce/schedule </t>
    </r>
    <r>
      <rPr>
        <sz val="6"/>
        <color indexed="8"/>
        <rFont val="Calibri"/>
        <family val="2"/>
      </rPr>
      <t xml:space="preserve">				</t>
    </r>
  </si>
  <si>
    <t xml:space="preserve"> Travel to/from the major cities in "Other Regions" between "Other Regions" where the Authority claims ridership and revenue during False Phase 1   </t>
  </si>
  <si>
    <r>
      <t>Based on miles used in</t>
    </r>
    <r>
      <rPr>
        <u/>
        <sz val="6"/>
        <color theme="1"/>
        <rFont val="Calibri"/>
        <family val="2"/>
        <scheme val="minor"/>
      </rPr>
      <t xml:space="preserve"> </t>
    </r>
    <r>
      <rPr>
        <sz val="6"/>
        <color theme="1"/>
        <rFont val="Calibri"/>
        <family val="2"/>
        <scheme val="minor"/>
      </rPr>
      <t>Independent Determination That the Travel Time Requirements of PROP 1A/AB3034 Cannot Be Met, Paul S. Jones; March 13, 2015. Mileage based on San Jose to LAUS, to Fresno (also same for Merced) and LAUS (for San Diego).  Other miles counted elsewhere as part of fares.</t>
    </r>
  </si>
  <si>
    <t>Los Angeles-Fresno/267miles</t>
  </si>
  <si>
    <t>Los Angeles-Fresno/                                                267miles</t>
  </si>
  <si>
    <r>
      <t xml:space="preserve">See Web site Folders of Commerical Air Services at: </t>
    </r>
    <r>
      <rPr>
        <sz val="6"/>
        <color rgb="FF0000FF"/>
        <rFont val="Calibri"/>
        <family val="2"/>
      </rPr>
      <t xml:space="preserve">https://sites.google.com/site/hsrcaliffr/home/2-1-major-reports---2018-plan/09-2018-if-you-build-it-they-will-not-come---the-sequel </t>
    </r>
    <r>
      <rPr>
        <sz val="6"/>
        <color theme="1"/>
        <rFont val="Calibri"/>
        <family val="2"/>
      </rPr>
      <t xml:space="preserve">
"
</t>
    </r>
  </si>
  <si>
    <r>
      <t>See Web site Folders of Commerical Air Services at:</t>
    </r>
    <r>
      <rPr>
        <sz val="6"/>
        <color rgb="FF0000FF"/>
        <rFont val="Calibri (Body)_x0000_"/>
      </rPr>
      <t xml:space="preserve"> https://sites.google.com/site/hsrcaliffr/home/2-1-major-reports---2018-plan/09-2018-if-you-build-it-they-will-not-come---the-sequel </t>
    </r>
    <r>
      <rPr>
        <sz val="6"/>
        <color theme="1"/>
        <rFont val="Calibri (Body)_x0000_"/>
      </rPr>
      <t xml:space="preserve">
"
</t>
    </r>
  </si>
  <si>
    <r>
      <t xml:space="preserve">See Web site Folders of Commerical Air Services at: </t>
    </r>
    <r>
      <rPr>
        <sz val="6"/>
        <color rgb="FF0000FF"/>
        <rFont val="Calibri (Body)_x0000_"/>
      </rPr>
      <t xml:space="preserve">https://sites.google.com/site/hsrcaliffr/home/2-1-major-reports---2018-plan/09-2018-if-you-build-it-they-will-not-come---the-sequel </t>
    </r>
    <r>
      <rPr>
        <sz val="6"/>
        <color theme="1"/>
        <rFont val="Calibri"/>
        <family val="2"/>
        <charset val="204"/>
        <scheme val="minor"/>
      </rPr>
      <t xml:space="preserve">
</t>
    </r>
  </si>
  <si>
    <r>
      <t xml:space="preserve">See Web site Folders of Commerical Air Services at: </t>
    </r>
    <r>
      <rPr>
        <sz val="6"/>
        <color rgb="FF0000FF"/>
        <rFont val="Calibri"/>
        <family val="2"/>
      </rPr>
      <t xml:space="preserve">https://sites.google.com/site/hsrcaliffr/home/2-1-major-reports---2018-plan/09-2018-if-you-build-it-they-will-not-come---the-sequel </t>
    </r>
    <r>
      <rPr>
        <sz val="6"/>
        <color theme="1"/>
        <rFont val="Calibri"/>
        <family val="2"/>
      </rPr>
      <t xml:space="preserve">
</t>
    </r>
  </si>
  <si>
    <r>
      <rPr>
        <sz val="6"/>
        <color theme="1"/>
        <rFont val="Calibri (Body)_x0000_"/>
      </rPr>
      <t>See Web site Folders of Commerical Air Services at:</t>
    </r>
    <r>
      <rPr>
        <sz val="6"/>
        <color indexed="18"/>
        <rFont val="Calibri (Body)_x0000_"/>
      </rPr>
      <t xml:space="preserve"> </t>
    </r>
    <r>
      <rPr>
        <sz val="6"/>
        <color rgb="FF0000FF"/>
        <rFont val="Calibri (Body)_x0000_"/>
      </rPr>
      <t xml:space="preserve">https://sites.google.com/site/hsrcaliffr/home/2-1-major-reports---2018-plan/09-2018-if-you-build-it-they-will-not-come---the-sequel </t>
    </r>
    <r>
      <rPr>
        <sz val="6"/>
        <color indexed="18"/>
        <rFont val="Calibri (Body)_x0000_"/>
      </rPr>
      <t xml:space="preserve">
</t>
    </r>
  </si>
  <si>
    <r>
      <t>See Web site Folders of Commerical Air Services at:</t>
    </r>
    <r>
      <rPr>
        <sz val="6"/>
        <color rgb="FF0000FF"/>
        <rFont val="Calibri"/>
        <family val="2"/>
      </rPr>
      <t xml:space="preserve"> https://sites.google.com/site/hsrcaliffr/home/2-1-major-reports---2018-plan/09-2018-if-you-build-it-they-will-not-come---the-sequel </t>
    </r>
    <r>
      <rPr>
        <sz val="6"/>
        <color theme="1"/>
        <rFont val="Calibri"/>
        <family val="2"/>
      </rPr>
      <t xml:space="preserve">
</t>
    </r>
  </si>
  <si>
    <r>
      <t xml:space="preserve">See Web site Folders of Commerical Air Services at: </t>
    </r>
    <r>
      <rPr>
        <sz val="6"/>
        <color rgb="FF0000FF"/>
        <rFont val="Calibri"/>
        <family val="2"/>
      </rPr>
      <t>https://sites.google.com/site/hsrcaliffr/home/2-1-major-reports---2018-plan/09-2018-if-you-build-it-they-will-not-come---the-seque</t>
    </r>
    <r>
      <rPr>
        <sz val="6"/>
        <color theme="1"/>
        <rFont val="Calibri"/>
        <family val="2"/>
      </rPr>
      <t xml:space="preserve">l 
</t>
    </r>
  </si>
  <si>
    <r>
      <t xml:space="preserve">See Web site Folders of Commerical Air Services at: </t>
    </r>
    <r>
      <rPr>
        <sz val="6"/>
        <color rgb="FF0000FF"/>
        <rFont val="Calibri"/>
        <family val="2"/>
      </rPr>
      <t xml:space="preserve">https://sites.google.com/site/hsrcaliffr/home/2-1-major-reports---2018-plan/09-2018-if-you-build-it-they-will-not-come---the-sequel </t>
    </r>
    <r>
      <rPr>
        <sz val="6"/>
        <color theme="1"/>
        <rFont val="Calibri"/>
        <family val="2"/>
      </rPr>
      <t xml:space="preserve">
</t>
    </r>
  </si>
  <si>
    <r>
      <t xml:space="preserve">See Web site Folders of Commerical Air Services at: </t>
    </r>
    <r>
      <rPr>
        <sz val="6"/>
        <color rgb="FF0000FF"/>
        <rFont val="Calibri"/>
        <family val="2"/>
      </rPr>
      <t>https://sites.google.com/site/hsrcaliffr/home/2-1-major-reports---2018-plan/09-2018-if-you-build-it-they-will-not-come---the-sequ</t>
    </r>
    <r>
      <rPr>
        <sz val="6"/>
        <color theme="1"/>
        <rFont val="Calibri"/>
        <family val="2"/>
      </rPr>
      <t xml:space="preserve">el 
</t>
    </r>
  </si>
  <si>
    <t>Sacramento-Millbrae/                                308miles</t>
  </si>
  <si>
    <t xml:space="preserve"> Sacramento-San Francisco/                                323miles</t>
  </si>
  <si>
    <t>Sacramento-San Jose/                              275miles</t>
  </si>
  <si>
    <r>
      <t xml:space="preserve">Sacramento-Gilroy/                              </t>
    </r>
    <r>
      <rPr>
        <b/>
        <sz val="8"/>
        <rFont val="Calibri"/>
        <family val="2"/>
      </rPr>
      <t>245miles</t>
    </r>
  </si>
  <si>
    <r>
      <rPr>
        <sz val="7"/>
        <color theme="1"/>
        <rFont val="Calibri"/>
        <family val="2"/>
      </rPr>
      <t xml:space="preserve">Distances and driving times found at: </t>
    </r>
    <r>
      <rPr>
        <sz val="7"/>
        <color rgb="FF3366FF"/>
        <rFont val="Calibri"/>
        <family val="2"/>
      </rPr>
      <t xml:space="preserve">https://www.google.com/maps/  </t>
    </r>
  </si>
  <si>
    <t>Millbrae-San Jose/                    33miles</t>
  </si>
  <si>
    <t>San Francisco-San Jose/           48miles</t>
  </si>
  <si>
    <r>
      <t xml:space="preserve">1 = Green = Auto is more Total Travel Time (TTT) </t>
    </r>
    <r>
      <rPr>
        <b/>
        <sz val="10"/>
        <color theme="1"/>
        <rFont val="Calibri (Body)_x0000_"/>
      </rPr>
      <t xml:space="preserve">and </t>
    </r>
    <r>
      <rPr>
        <b/>
        <sz val="10"/>
        <color theme="1"/>
        <rFont val="Calibri"/>
        <family val="2"/>
        <scheme val="minor"/>
      </rPr>
      <t>Total Travel Cost (TTC) competitive than HSR</t>
    </r>
  </si>
  <si>
    <r>
      <rPr>
        <sz val="6"/>
        <color theme="1"/>
        <rFont val="Calibri"/>
        <family val="2"/>
      </rPr>
      <t xml:space="preserve">Pacific Surliner Train #763's Run Time San Diego-LAUS is 176minutes. See: </t>
    </r>
    <r>
      <rPr>
        <sz val="6"/>
        <color indexed="12"/>
        <rFont val="Calibri"/>
        <family val="2"/>
      </rPr>
      <t>https://tickets.amtrak.com/itd/amtrak</t>
    </r>
  </si>
  <si>
    <r>
      <rPr>
        <sz val="6"/>
        <color theme="1"/>
        <rFont val="Calibri"/>
        <family val="2"/>
      </rPr>
      <t>The LAUS-San Diego Amtrak Pacific Surfliner ride costs $35.65 and takes 176minutes. See:</t>
    </r>
    <r>
      <rPr>
        <sz val="6"/>
        <color rgb="FF0000FF"/>
        <rFont val="Calibri"/>
        <family val="2"/>
      </rPr>
      <t xml:space="preserve"> https://tickets.amtrak.com/itd/amtrak</t>
    </r>
  </si>
  <si>
    <r>
      <rPr>
        <sz val="6"/>
        <color theme="1"/>
        <rFont val="Calibri"/>
        <family val="2"/>
      </rPr>
      <t>The LAUS-San Diego Amtrak Pacific Surfliner ride costs $35.50 and takes 176minutes. See:</t>
    </r>
    <r>
      <rPr>
        <sz val="6"/>
        <color rgb="FF0000FF"/>
        <rFont val="Calibri"/>
        <family val="2"/>
      </rPr>
      <t xml:space="preserve"> https://tickets.amtrak.com/itd/amtrak</t>
    </r>
  </si>
  <si>
    <t>False Phase 1:   HSR fares LAUS to Merced or Gilroy</t>
  </si>
  <si>
    <r>
      <rPr>
        <sz val="6"/>
        <color theme="1"/>
        <rFont val="Calibri"/>
        <family val="2"/>
      </rPr>
      <t>The LAUS-San Diego Amtrak Pacific Surfliner ride costs $36.50 and takes 176minutes. See</t>
    </r>
    <r>
      <rPr>
        <sz val="6"/>
        <color indexed="18"/>
        <rFont val="Calibri"/>
        <family val="2"/>
      </rPr>
      <t>:</t>
    </r>
    <r>
      <rPr>
        <sz val="6"/>
        <color rgb="FF0000FF"/>
        <rFont val="Calibri"/>
        <family val="2"/>
      </rPr>
      <t xml:space="preserve"> https://tickets.amtrak.com/itd/amtrak</t>
    </r>
  </si>
  <si>
    <r>
      <t>The LAUS-San Diego Amtrak Pacific Surfliner ride costs $36.50 and takes 176minutes. See:</t>
    </r>
    <r>
      <rPr>
        <sz val="6"/>
        <color rgb="FF0000FF"/>
        <rFont val="Calibri"/>
        <family val="2"/>
      </rPr>
      <t xml:space="preserve"> https://tickets.amtrak.com/itd/amtrak</t>
    </r>
  </si>
  <si>
    <r>
      <rPr>
        <sz val="6"/>
        <color theme="1"/>
        <rFont val="Calibri"/>
        <family val="2"/>
      </rPr>
      <t xml:space="preserve">For Merced-Sacramento Authority Bus Run Times, see Table A.3.1,p. A-3 [PDF 63] of the 2016 Business Plan, Ridership and Revenue Forecasting, Technical Supporting Document. Times for San Diego-LAUS and San Diego-Anaheim are Amtrak's Pacific Surliner Run Times as there is no HSR service to or from San Diego County. For the 176minute Amtrak Run Time and $36.50 fare of Pacific Surfliner LAUS-San Diego, See: </t>
    </r>
    <r>
      <rPr>
        <sz val="6"/>
        <color rgb="FF0000FF"/>
        <rFont val="Calibri"/>
        <family val="2"/>
      </rPr>
      <t xml:space="preserve">https://tickets.amtrak.com/itd/amtrak </t>
    </r>
  </si>
  <si>
    <r>
      <t>Note: The $10.00 and $1.00 Authority Bus fares are subsidized.  For example, the Sacramento-Merced fare by Greyhound cost $26, not the Authority's $10. The Authority's $1.00 Merced-Madera fare would cost $12 if on Greyhound. See:</t>
    </r>
    <r>
      <rPr>
        <sz val="6"/>
        <color rgb="FF0000FF"/>
        <rFont val="Calibri"/>
        <family val="2"/>
      </rPr>
      <t xml:space="preserve"> https://www.greyhound.com/en/ecommerce/schedule 	</t>
    </r>
    <r>
      <rPr>
        <sz val="6"/>
        <color theme="1"/>
        <rFont val="Calibri"/>
        <family val="2"/>
      </rPr>
      <t xml:space="preserve">			</t>
    </r>
  </si>
  <si>
    <r>
      <t>The Wait Time in LAUS or San Diego for Amtrak's Pacific Surfliner is 30minutes as that train runs hourly. The Amtrak Pacific Surfliner's Run Time San Diego-LAUS is 176minutes. See:</t>
    </r>
    <r>
      <rPr>
        <sz val="6"/>
        <color rgb="FF0000FF"/>
        <rFont val="Calibri"/>
        <family val="2"/>
      </rPr>
      <t xml:space="preserve"> https://tickets.amtrak.com/itd/amtrak</t>
    </r>
  </si>
  <si>
    <r>
      <rPr>
        <sz val="6"/>
        <color theme="1"/>
        <rFont val="Calibri"/>
        <family val="2"/>
      </rPr>
      <t xml:space="preserve">The LAUS-San Diego Amtrak Pacific Surfliner ride costs $36.50 and takes 176minutes. See: </t>
    </r>
    <r>
      <rPr>
        <sz val="6"/>
        <color rgb="FF0000FF"/>
        <rFont val="Calibri"/>
        <family val="2"/>
      </rPr>
      <t>https://tickets.amtrak.com/itd/amtrak</t>
    </r>
  </si>
  <si>
    <r>
      <rPr>
        <sz val="6"/>
        <color theme="1"/>
        <rFont val="Calibri"/>
        <family val="2"/>
      </rPr>
      <t>Pacific Surliner Train #763's Run Time San Diego-LAUS is 176minutes. See:</t>
    </r>
    <r>
      <rPr>
        <sz val="6"/>
        <color indexed="18"/>
        <rFont val="Calibri"/>
        <family val="2"/>
      </rPr>
      <t xml:space="preserve"> </t>
    </r>
    <r>
      <rPr>
        <sz val="6"/>
        <color indexed="12"/>
        <rFont val="Calibri"/>
        <family val="2"/>
      </rPr>
      <t>https://tickets.amtrak.com/itd/amtrak</t>
    </r>
  </si>
  <si>
    <r>
      <rPr>
        <sz val="6"/>
        <color theme="1"/>
        <rFont val="Calibri"/>
        <family val="2"/>
      </rPr>
      <t xml:space="preserve"> For $36.50 Amtrak fare of Pacific Surfliner LAUS-San Diego. See:</t>
    </r>
    <r>
      <rPr>
        <sz val="6"/>
        <color indexed="18"/>
        <rFont val="Calibri"/>
        <family val="2"/>
      </rPr>
      <t xml:space="preserve"> </t>
    </r>
    <r>
      <rPr>
        <sz val="6"/>
        <color rgb="FF0000FF"/>
        <rFont val="Calibri"/>
        <family val="2"/>
      </rPr>
      <t>https://tickets.amtrak.com/itd/amtrak</t>
    </r>
  </si>
  <si>
    <r>
      <t>For the Sacramento bus see A.3.1, p. A-3 [PDF 63] of the 2016 Ridership and Revenue Forecasting, Technical Supporting Document. Run Time. The LAUS-San Diego Amtrak Pacific Surfliner ride costs $36.50 and takes 176minutes. See:</t>
    </r>
    <r>
      <rPr>
        <sz val="6"/>
        <color rgb="FF0000FF"/>
        <rFont val="Calibri"/>
        <family val="2"/>
      </rPr>
      <t xml:space="preserve"> https://tickets.amtrak.com/itd/amtrak</t>
    </r>
  </si>
  <si>
    <t>San Diego-KT Hanford/322miles</t>
  </si>
  <si>
    <r>
      <t>San Diego-Madera</t>
    </r>
    <r>
      <rPr>
        <b/>
        <sz val="9"/>
        <color rgb="FF000000"/>
        <rFont val="Calibri"/>
        <family val="2"/>
      </rPr>
      <t>/368miles</t>
    </r>
  </si>
  <si>
    <r>
      <t>San Diego-Fresno/</t>
    </r>
    <r>
      <rPr>
        <b/>
        <sz val="9"/>
        <rFont val="Calibri"/>
        <family val="2"/>
      </rPr>
      <t>390miles</t>
    </r>
  </si>
  <si>
    <t>San Diego-San Francisco/598miles</t>
  </si>
  <si>
    <t>Los Angeles-Gilroy/388miles</t>
  </si>
  <si>
    <t>Oakland-Palmdale/419miles</t>
  </si>
  <si>
    <t>False Phase 1:    HSR Run Times from the SF Transbay Terminal to SCAG destinations or LAUS for Long Beach (minutes)</t>
  </si>
  <si>
    <t xml:space="preserve">With no planned electrifcation of LAUS-Long Beach, HSR patrons must take Metro Blue, requiring a transfer, or wait time of at least 15minutes. The transfer time at LAUS for Amtrak to San Diego is 30minutes since Amtrak's Pacific Surliner runs hourly. 
</t>
  </si>
  <si>
    <t>False Phase 1: Other Transfer Time</t>
  </si>
  <si>
    <r>
      <t>There is no planned HSR connection between LAUS and  Long Beach. The Metro Blue journey between Downtown Long Beach and Pershing Square (LAUS) takes 81minutes and costs $1.75. See:</t>
    </r>
    <r>
      <rPr>
        <sz val="6"/>
        <color rgb="FF0000FF"/>
        <rFont val="Calibri"/>
        <family val="2"/>
      </rPr>
      <t xml:space="preserve"> https://media.metro.net/documents/5a366ef8-2013-4d21-8e6d-e7716ec50478.pdf</t>
    </r>
    <r>
      <rPr>
        <sz val="6"/>
        <color theme="1"/>
        <rFont val="Calibri"/>
        <family val="2"/>
      </rPr>
      <t xml:space="preserve">  
</t>
    </r>
  </si>
  <si>
    <t>False Phase 1:     Other Run Times (Transit LAUS-Long Beach)</t>
  </si>
  <si>
    <r>
      <t xml:space="preserve">There is no planned HSR connection between LAUS and  Long Beach. The Metro Blue journey between Downtown Long Beach and Pershing Square (LAUS) takes 81minutes and costs $1.75. See: </t>
    </r>
    <r>
      <rPr>
        <sz val="6"/>
        <color rgb="FF0000FF"/>
        <rFont val="Calibri"/>
        <family val="2"/>
      </rPr>
      <t>https://media.metro.net/documents/5a366ef8-2013-4d21-8e6d-e7716ec50478.pd</t>
    </r>
    <r>
      <rPr>
        <sz val="6"/>
        <color theme="1"/>
        <rFont val="Calibri"/>
        <family val="2"/>
      </rPr>
      <t xml:space="preserve">f  </t>
    </r>
  </si>
  <si>
    <t>Oakland-Long Beach/495miles</t>
  </si>
  <si>
    <t>Oakland-Long Beach/                    495miles</t>
  </si>
  <si>
    <r>
      <rPr>
        <b/>
        <sz val="14"/>
        <color rgb="FFFF0000"/>
        <rFont val="Calibri"/>
        <family val="2"/>
      </rPr>
      <t>1</t>
    </r>
    <r>
      <rPr>
        <b/>
        <sz val="14"/>
        <color indexed="12"/>
        <rFont val="Calibri"/>
        <family val="2"/>
      </rPr>
      <t xml:space="preserve"> of these</t>
    </r>
    <r>
      <rPr>
        <b/>
        <sz val="14"/>
        <color rgb="FFFF0000"/>
        <rFont val="Calibri"/>
        <family val="2"/>
      </rPr>
      <t xml:space="preserve"> 51 </t>
    </r>
    <r>
      <rPr>
        <b/>
        <sz val="14"/>
        <color indexed="12"/>
        <rFont val="Calibri"/>
        <family val="2"/>
      </rPr>
      <t xml:space="preserve">Non-Adjacent Region analyses show the HSR train would be Total Travel Time (TTT) competitive against Auto or Air's Total Travel Time (TTT) or Total Travel Cost (TTC) during False Phase 1       </t>
    </r>
  </si>
  <si>
    <t>1 = Yellow = HSR is Total Travel Time (TTT) competitive</t>
  </si>
  <si>
    <t>San Diego-Turlock/                                 422miles</t>
  </si>
  <si>
    <t xml:space="preserve"> San Diego-Gilroy/                                               429miles</t>
  </si>
  <si>
    <t>San Diego-Elk Grove/                                         488miles</t>
  </si>
  <si>
    <t>San Diego-Modesto/                                            418miles</t>
  </si>
  <si>
    <t>Sacramento-Millbrae/243miles</t>
  </si>
  <si>
    <t>Sacramento-Gilroy/244miles</t>
  </si>
  <si>
    <t xml:space="preserve"> Sacramento-San Francisco/314miles</t>
  </si>
  <si>
    <t>Sacramento-San Jose/323miles</t>
  </si>
  <si>
    <t>A minus sign (-) indicates time gained over Air Travel by using HSR between the Origin and Destination</t>
  </si>
  <si>
    <r>
      <rPr>
        <sz val="6"/>
        <color theme="1"/>
        <rFont val="Calibri"/>
        <family val="2"/>
      </rPr>
      <t>Pacific Surliner Train #763's Run Time San Diego-LAUS is 176minutes and cost $35.65. The fastest San Diego-Anaheim Amtrak Pacific Surfliner is #265, cost $30.45 and takes 125minutes one-way. The fastest Amtrak San Diego-BUR takes 202minutes and cost $37.80. Passengers to OC Gateway or Palmdale must use Metrolink.   See:</t>
    </r>
    <r>
      <rPr>
        <sz val="6"/>
        <color indexed="18"/>
        <rFont val="Calibri"/>
        <family val="2"/>
      </rPr>
      <t xml:space="preserve"> </t>
    </r>
    <r>
      <rPr>
        <sz val="6"/>
        <color rgb="FF0000FF"/>
        <rFont val="Calibri"/>
        <family val="2"/>
      </rPr>
      <t>https://tickets.amtrak.com/itd/amtrak</t>
    </r>
  </si>
  <si>
    <r>
      <rPr>
        <sz val="6"/>
        <color theme="1"/>
        <rFont val="Calibri"/>
        <family val="2"/>
      </rPr>
      <t>HSR fares are from Table 2.2, p. 2-5 [PDF 25] of the  2018  Plan's Ridership and Revenue Forecasting, Techical Supporting Document. Metrolink fares north of LAUS are based on</t>
    </r>
    <r>
      <rPr>
        <sz val="6"/>
        <color rgb="FF0000FF"/>
        <rFont val="Calibri"/>
        <family val="2"/>
      </rPr>
      <t xml:space="preserve"> https://www.metrolinktrains.com/ticketsOverview/ticket-info/price-finder/</t>
    </r>
    <r>
      <rPr>
        <sz val="6"/>
        <color indexed="18"/>
        <rFont val="Calibri"/>
        <family val="2"/>
      </rPr>
      <t xml:space="preserve"> </t>
    </r>
    <r>
      <rPr>
        <sz val="6"/>
        <color theme="1"/>
        <rFont val="Calibri"/>
        <family val="2"/>
      </rPr>
      <t xml:space="preserve">Metrolink fares at: </t>
    </r>
    <r>
      <rPr>
        <sz val="6"/>
        <color rgb="FF0000FF"/>
        <rFont val="Calibri"/>
        <family val="2"/>
      </rPr>
      <t>https://www.metrolinktrains.com/ticketsOverview/ticket-info/price-finder/</t>
    </r>
  </si>
  <si>
    <t>SF0-SMF</t>
  </si>
  <si>
    <t>False Phase 1:    Metrolink Run Times Anaheim-OC Gateway (Santa Fe Springs Transit Center) or Burbank Airport (BUR) to Palmdale</t>
  </si>
  <si>
    <r>
      <rPr>
        <b/>
        <sz val="10"/>
        <color theme="1"/>
        <rFont val="Calibri (Body)_x0000_"/>
      </rPr>
      <t xml:space="preserve">49 = Blue =  Air is </t>
    </r>
    <r>
      <rPr>
        <b/>
        <u/>
        <sz val="10"/>
        <color theme="1"/>
        <rFont val="Calibri (Body)_x0000_"/>
      </rPr>
      <t>both</t>
    </r>
    <r>
      <rPr>
        <b/>
        <sz val="10"/>
        <color theme="1"/>
        <rFont val="Calibri (Body)_x0000_"/>
      </rPr>
      <t xml:space="preserve"> TTT and TTC more competitive than HSR</t>
    </r>
    <r>
      <rPr>
        <b/>
        <sz val="10"/>
        <color rgb="FF00B0F0"/>
        <rFont val="Calibri"/>
        <family val="2"/>
        <scheme val="minor"/>
      </rPr>
      <t>SR</t>
    </r>
  </si>
  <si>
    <t>Sacramento-Burbank (BUR)/                             437miles</t>
  </si>
  <si>
    <r>
      <rPr>
        <sz val="6"/>
        <color theme="1"/>
        <rFont val="Calibri"/>
        <family val="2"/>
      </rPr>
      <t>Pacific Surliner Train's  Run Time San Diego-LAUS is 171minutes and cost $35.65 The fastest San Diego-Anaheim Amtrak Pacific Surfliner cost $30.45 and takes 125minutes one-way.  Passengers to OC Gateway or Palmdale must use Metrolink.   See:</t>
    </r>
    <r>
      <rPr>
        <sz val="6"/>
        <color indexed="18"/>
        <rFont val="Calibri"/>
        <family val="2"/>
      </rPr>
      <t xml:space="preserve"> </t>
    </r>
    <r>
      <rPr>
        <sz val="6"/>
        <color rgb="FF0000FF"/>
        <rFont val="Calibri"/>
        <family val="2"/>
      </rPr>
      <t>https://tickets.amtrak.com/itd/amtrak</t>
    </r>
  </si>
  <si>
    <r>
      <rPr>
        <b/>
        <sz val="14"/>
        <color rgb="FFFF0000"/>
        <rFont val="Calibri"/>
        <family val="2"/>
      </rPr>
      <t xml:space="preserve">35 </t>
    </r>
    <r>
      <rPr>
        <b/>
        <sz val="14"/>
        <color indexed="12"/>
        <rFont val="Calibri"/>
        <family val="2"/>
      </rPr>
      <t xml:space="preserve">of these </t>
    </r>
    <r>
      <rPr>
        <b/>
        <sz val="14"/>
        <color rgb="FFFF0000"/>
        <rFont val="Calibri"/>
        <family val="2"/>
      </rPr>
      <t xml:space="preserve">73 </t>
    </r>
    <r>
      <rPr>
        <b/>
        <sz val="14"/>
        <color rgb="FF3366FF"/>
        <rFont val="Calibri"/>
        <family val="2"/>
      </rPr>
      <t>A</t>
    </r>
    <r>
      <rPr>
        <b/>
        <sz val="14"/>
        <color indexed="12"/>
        <rFont val="Calibri"/>
        <family val="2"/>
      </rPr>
      <t>djacent Regions analyses show that the HSR train would be Total Travel Time (TTT) competitive against Auto or Air's Total Travel Time (TTT) or Total Travel Cost (TTC) during Fake Phase 1</t>
    </r>
  </si>
  <si>
    <r>
      <rPr>
        <sz val="7"/>
        <color theme="1"/>
        <rFont val="Calibri"/>
        <family val="2"/>
      </rPr>
      <t xml:space="preserve">See p.2-6 [PDF 26] of the 2018 Business Plan Ridership and Revenue Forecasting, Technical Supporting Document that says, </t>
    </r>
    <r>
      <rPr>
        <i/>
        <sz val="7"/>
        <color theme="1"/>
        <rFont val="Calibri"/>
        <family val="2"/>
      </rPr>
      <t>“$10 from Sacramento, Elk Grove, and Lodi to Madera”</t>
    </r>
    <r>
      <rPr>
        <sz val="7"/>
        <color indexed="18"/>
        <rFont val="Calibri"/>
        <family val="2"/>
      </rPr>
      <t xml:space="preserve">
</t>
    </r>
  </si>
  <si>
    <r>
      <t xml:space="preserve">The one-way bus Greyhound bus fare for the journey, Yosemite Valley Lodge - Fresno, takes 4hrs. 22minutes (262minutes) and coss $23.   See: Web Site-Folder 8, Commerical Bus Services, based on </t>
    </r>
    <r>
      <rPr>
        <sz val="6"/>
        <color rgb="FF0000FF"/>
        <rFont val="Calibri (Body)_x0000_"/>
      </rPr>
      <t>https://www.greyhound.com/en/ecommerce/schedule</t>
    </r>
  </si>
  <si>
    <t xml:space="preserve">False Phase 1: Greyhound bus tansport times to get to the nearest HSR station, piror to starting HSR-inclusive travel (minutes) </t>
  </si>
  <si>
    <t>35 = Yellow = HSR is Total Travel Time (TTT) competitive</t>
  </si>
  <si>
    <r>
      <t xml:space="preserve">38 = Green = Auto is more Total Travel Time (TTT) </t>
    </r>
    <r>
      <rPr>
        <b/>
        <sz val="10"/>
        <color theme="1"/>
        <rFont val="Calibri (Body)_x0000_"/>
      </rPr>
      <t xml:space="preserve">and </t>
    </r>
    <r>
      <rPr>
        <b/>
        <sz val="10"/>
        <color theme="1"/>
        <rFont val="Calibri"/>
        <family val="2"/>
        <scheme val="minor"/>
      </rPr>
      <t>Total Travel Cost (TTC) competitive than HSR</t>
    </r>
  </si>
  <si>
    <t>Column Total</t>
  </si>
  <si>
    <t>Adjacent Total</t>
  </si>
  <si>
    <t>Region to Region Total</t>
  </si>
  <si>
    <t xml:space="preserve">Auto and Air Wins </t>
  </si>
  <si>
    <t>Check Total</t>
  </si>
  <si>
    <t>HSR - yellow</t>
  </si>
  <si>
    <t>Auto/Air - green</t>
  </si>
  <si>
    <t xml:space="preserve">     SCAG-SJV</t>
  </si>
  <si>
    <t xml:space="preserve">    MTC-SJV</t>
  </si>
  <si>
    <t xml:space="preserve">    SACOG-MTC</t>
  </si>
  <si>
    <t xml:space="preserve">   SACOG-SJV</t>
  </si>
  <si>
    <t xml:space="preserve">   SANDAG-SCAG</t>
  </si>
  <si>
    <t xml:space="preserve">Regional </t>
  </si>
  <si>
    <t>Route Summaries</t>
  </si>
  <si>
    <t>Regional Route Summaries</t>
  </si>
  <si>
    <t xml:space="preserve">                HSR Wins as a % of Adjacent Regions Total</t>
  </si>
  <si>
    <t>City-Pair Route Winners During False Phase 1</t>
  </si>
  <si>
    <t>False Phase 1:       HSR Run Times from MTC Origin to Merced prior to taking the Authority Dedicated Bus to Destination (access + egress times not counted)</t>
  </si>
  <si>
    <t>No prior-to-HSR-travel by BART, Metrolink, Amtrak or an Authority Dedicated Bus in these calculations. See: A.2.2 p. A-1 [PDF 62] of 2018 Ridership and Revenue Forecasting, Technical Supporting Document. High-Speed Rail Patterns</t>
  </si>
  <si>
    <t xml:space="preserve">See: A.2.1 p. A-2 [PDF 62] of 2018 Ridership and Revenue Forecasting, Technical Supporting Document 
</t>
  </si>
  <si>
    <r>
      <t xml:space="preserve">This assumes there is NO change of train in San Jose for Merced; i.e. that the SF-Merced train is a through-train. For data See: A.2.2 p. A-2 [PDF 62] of 2018 Ridership and Revenue Forecasting, Technical Supporting Document that says </t>
    </r>
    <r>
      <rPr>
        <i/>
        <sz val="6"/>
        <color theme="1"/>
        <rFont val="Calibri (Body)_x0000_"/>
      </rPr>
      <t xml:space="preserve">"HSR-Bus Transfer Time  15" </t>
    </r>
    <r>
      <rPr>
        <sz val="6"/>
        <color theme="1"/>
        <rFont val="Calibri (Body)_x0000_"/>
      </rPr>
      <t xml:space="preserve">
</t>
    </r>
  </si>
  <si>
    <t>False Phase 1:            HSR Run times. For San Jose-Modesto the Run Time is San Jose-Merced (minutes)</t>
  </si>
  <si>
    <t>False Phase 1:   Wait Time in Merced before HSR ride to San Francisco (minutes)</t>
  </si>
  <si>
    <t>False Phase 1:            Authority Bus Run Time Merced-Modesto (minutes)</t>
  </si>
  <si>
    <t xml:space="preserve">Fares are from Table 2.2, p. 2-5 [PDF 25] of the  2018  Plan's Ridership and Revenue Forecasting, Techical Supporting Document. While the traveler must change stations in Merced for northbound or westbound destinations, the Authors use the Table 2.2 fare designations from SFTBT
</t>
  </si>
  <si>
    <t>San Jose-Modesto/                                                 210miles</t>
  </si>
  <si>
    <t>San Jose-Modesto/210miles</t>
  </si>
  <si>
    <t xml:space="preserve">False Phase 1:            Ttransfer Times at Merced for Dedicated Bus to destinations northward and HSR transfer in San Jose (minutes) </t>
  </si>
  <si>
    <t>BART access time of 25 minutes and BART run time of 12 minutes, Oakland to San Francisco</t>
  </si>
  <si>
    <r>
      <t>See: Appendix A.2, Table A.2.1 p. A-2 [PDF 62] of the  2018 Ridership and Revenue Forecasting, Technical Supporting Document that says,</t>
    </r>
    <r>
      <rPr>
        <i/>
        <sz val="6"/>
        <color theme="1"/>
        <rFont val="Calibri"/>
        <family val="2"/>
      </rPr>
      <t xml:space="preserve"> "Transfer time at Merced  15" </t>
    </r>
    <r>
      <rPr>
        <sz val="6"/>
        <color theme="1"/>
        <rFont val="Calibri"/>
        <family val="2"/>
      </rPr>
      <t>(minutes)  Transfer time in San Francisco</t>
    </r>
  </si>
  <si>
    <t>BART Fare</t>
  </si>
  <si>
    <t>Oakland-Madera/179miles</t>
  </si>
  <si>
    <t>Oakland-Madera/                                          179miles</t>
  </si>
  <si>
    <t>Anaheim-Modesto/                                           391miles</t>
  </si>
  <si>
    <t>Los Angeles-Stockton/                                              392miles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</si>
</sst>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quot;$&quot;#,##0.00"/>
  </numFmts>
  <fonts count="419">
    <font>
      <sz val="12"/>
      <color theme="1"/>
      <name val="Calibri"/>
      <family val="2"/>
      <charset val="204"/>
      <scheme val="minor"/>
    </font>
    <font>
      <sz val="12"/>
      <color theme="1"/>
      <name val="Calibri"/>
      <family val="2"/>
      <scheme val="minor"/>
    </font>
    <font>
      <sz val="12"/>
      <color theme="1"/>
      <name val="Calibri"/>
      <family val="2"/>
      <scheme val="minor"/>
    </font>
    <font>
      <sz val="11"/>
      <color indexed="8"/>
      <name val="Calibri"/>
      <family val="2"/>
    </font>
    <font>
      <sz val="11"/>
      <color indexed="8"/>
      <name val="Calibri"/>
      <family val="2"/>
    </font>
    <font>
      <sz val="12"/>
      <color indexed="8"/>
      <name val="Calibri"/>
      <family val="2"/>
    </font>
    <font>
      <b/>
      <sz val="9"/>
      <color indexed="12"/>
      <name val="Calibri"/>
      <family val="2"/>
    </font>
    <font>
      <b/>
      <sz val="9"/>
      <color indexed="10"/>
      <name val="Calibri"/>
      <family val="2"/>
    </font>
    <font>
      <b/>
      <sz val="12"/>
      <color indexed="10"/>
      <name val="Calibri"/>
      <family val="2"/>
    </font>
    <font>
      <sz val="12"/>
      <color indexed="10"/>
      <name val="Calibri"/>
      <family val="2"/>
    </font>
    <font>
      <b/>
      <sz val="9"/>
      <color indexed="8"/>
      <name val="Calibri"/>
      <family val="2"/>
    </font>
    <font>
      <b/>
      <sz val="9"/>
      <color indexed="8"/>
      <name val="Calibri"/>
      <family val="2"/>
    </font>
    <font>
      <b/>
      <sz val="9"/>
      <name val="Calibri"/>
      <family val="2"/>
    </font>
    <font>
      <b/>
      <sz val="12"/>
      <name val="Calibri"/>
      <family val="2"/>
    </font>
    <font>
      <b/>
      <sz val="9"/>
      <color indexed="8"/>
      <name val="Calibri"/>
      <family val="2"/>
    </font>
    <font>
      <sz val="9"/>
      <color indexed="8"/>
      <name val="Calibri"/>
      <family val="2"/>
    </font>
    <font>
      <b/>
      <sz val="8"/>
      <color indexed="10"/>
      <name val="Calibri"/>
      <family val="2"/>
    </font>
    <font>
      <sz val="9"/>
      <color indexed="8"/>
      <name val="Calibri"/>
      <family val="2"/>
    </font>
    <font>
      <sz val="9"/>
      <color indexed="17"/>
      <name val="Calibri"/>
      <family val="2"/>
    </font>
    <font>
      <b/>
      <sz val="9"/>
      <color indexed="17"/>
      <name val="Calibri"/>
      <family val="2"/>
    </font>
    <font>
      <sz val="12"/>
      <color indexed="28"/>
      <name val="Calibri"/>
      <family val="2"/>
    </font>
    <font>
      <b/>
      <sz val="9"/>
      <color indexed="28"/>
      <name val="Calibri"/>
      <family val="2"/>
    </font>
    <font>
      <b/>
      <sz val="7"/>
      <color indexed="8"/>
      <name val="Calibri"/>
      <family val="2"/>
    </font>
    <font>
      <b/>
      <sz val="7"/>
      <color indexed="10"/>
      <name val="Calibri"/>
      <family val="2"/>
    </font>
    <font>
      <b/>
      <sz val="7"/>
      <color indexed="12"/>
      <name val="Calibri"/>
      <family val="2"/>
    </font>
    <font>
      <b/>
      <sz val="7"/>
      <name val="Calibri"/>
      <family val="2"/>
    </font>
    <font>
      <b/>
      <sz val="7"/>
      <color indexed="17"/>
      <name val="Calibri"/>
      <family val="2"/>
    </font>
    <font>
      <sz val="7"/>
      <color indexed="8"/>
      <name val="Calibri"/>
      <family val="2"/>
    </font>
    <font>
      <sz val="9"/>
      <color indexed="18"/>
      <name val="Calibri"/>
      <family val="2"/>
    </font>
    <font>
      <sz val="7"/>
      <color indexed="10"/>
      <name val="Calibri"/>
      <family val="2"/>
    </font>
    <font>
      <sz val="7"/>
      <color indexed="12"/>
      <name val="Calibri"/>
      <family val="2"/>
    </font>
    <font>
      <sz val="7"/>
      <color indexed="8"/>
      <name val="Calibri"/>
      <family val="2"/>
    </font>
    <font>
      <sz val="9"/>
      <color indexed="10"/>
      <name val="Calibri"/>
      <family val="2"/>
    </font>
    <font>
      <sz val="7"/>
      <color indexed="17"/>
      <name val="Calibri"/>
      <family val="2"/>
    </font>
    <font>
      <sz val="7"/>
      <color indexed="18"/>
      <name val="Calibri"/>
      <family val="2"/>
    </font>
    <font>
      <sz val="6"/>
      <color indexed="17"/>
      <name val="Calibri"/>
      <family val="2"/>
    </font>
    <font>
      <sz val="6"/>
      <color indexed="12"/>
      <name val="Verdana"/>
      <family val="2"/>
    </font>
    <font>
      <sz val="6"/>
      <color indexed="8"/>
      <name val="Calibri"/>
      <family val="2"/>
    </font>
    <font>
      <sz val="6"/>
      <color indexed="12"/>
      <name val="Calibri"/>
      <family val="2"/>
    </font>
    <font>
      <sz val="6"/>
      <color indexed="18"/>
      <name val="Calibri"/>
      <family val="2"/>
    </font>
    <font>
      <sz val="6"/>
      <color indexed="10"/>
      <name val="Calibri"/>
      <family val="2"/>
    </font>
    <font>
      <sz val="6"/>
      <color indexed="28"/>
      <name val="Calibri"/>
      <family val="2"/>
    </font>
    <font>
      <b/>
      <sz val="6"/>
      <color indexed="10"/>
      <name val="Calibri"/>
      <family val="2"/>
    </font>
    <font>
      <b/>
      <sz val="7"/>
      <color indexed="8"/>
      <name val="Calibri"/>
      <family val="2"/>
    </font>
    <font>
      <sz val="6"/>
      <color indexed="17"/>
      <name val="Calibri Body"/>
    </font>
    <font>
      <sz val="9"/>
      <color indexed="12"/>
      <name val="Calibri"/>
      <family val="2"/>
    </font>
    <font>
      <sz val="9"/>
      <color indexed="10"/>
      <name val="Calibri"/>
      <family val="2"/>
    </font>
    <font>
      <sz val="9"/>
      <color indexed="18"/>
      <name val="Calibri"/>
      <family val="2"/>
    </font>
    <font>
      <sz val="9"/>
      <color indexed="12"/>
      <name val="Calibri"/>
      <family val="2"/>
    </font>
    <font>
      <sz val="9"/>
      <color indexed="28"/>
      <name val="Calibri"/>
      <family val="2"/>
    </font>
    <font>
      <b/>
      <sz val="9"/>
      <color indexed="18"/>
      <name val="Calibri"/>
      <family val="2"/>
    </font>
    <font>
      <sz val="9"/>
      <color indexed="48"/>
      <name val="Calibri"/>
      <family val="2"/>
    </font>
    <font>
      <sz val="7"/>
      <color indexed="28"/>
      <name val="Calibri"/>
      <family val="2"/>
    </font>
    <font>
      <sz val="6"/>
      <color indexed="8"/>
      <name val="Calibri"/>
      <family val="2"/>
    </font>
    <font>
      <sz val="6"/>
      <color indexed="18"/>
      <name val="Calibri Body"/>
    </font>
    <font>
      <sz val="12"/>
      <color indexed="10"/>
      <name val="Calibri"/>
      <family val="2"/>
    </font>
    <font>
      <sz val="9"/>
      <color indexed="10"/>
      <name val="Calibri"/>
      <family val="2"/>
    </font>
    <font>
      <sz val="6"/>
      <color indexed="10"/>
      <name val="Verdana"/>
      <family val="2"/>
    </font>
    <font>
      <sz val="9"/>
      <color indexed="8"/>
      <name val="Calibri"/>
      <family val="2"/>
    </font>
    <font>
      <sz val="9"/>
      <name val="Calibri"/>
      <family val="2"/>
    </font>
    <font>
      <b/>
      <sz val="12"/>
      <color indexed="28"/>
      <name val="Calibri"/>
      <family val="2"/>
    </font>
    <font>
      <sz val="8"/>
      <name val="Calibri"/>
      <family val="2"/>
    </font>
    <font>
      <sz val="12"/>
      <color indexed="12"/>
      <name val="Calibri"/>
      <family val="2"/>
    </font>
    <font>
      <sz val="10"/>
      <color indexed="8"/>
      <name val="Calibri"/>
      <family val="2"/>
    </font>
    <font>
      <sz val="12"/>
      <color indexed="8"/>
      <name val="Calibri"/>
      <family val="2"/>
    </font>
    <font>
      <sz val="9"/>
      <color indexed="18"/>
      <name val="Calibri"/>
      <family val="2"/>
    </font>
    <font>
      <sz val="9"/>
      <color indexed="17"/>
      <name val="Calibri"/>
      <family val="2"/>
    </font>
    <font>
      <b/>
      <sz val="9"/>
      <color indexed="17"/>
      <name val="Calibri"/>
      <family val="2"/>
    </font>
    <font>
      <sz val="12"/>
      <color indexed="17"/>
      <name val="Calibri"/>
      <family val="2"/>
    </font>
    <font>
      <b/>
      <sz val="12"/>
      <color indexed="17"/>
      <name val="Calibri"/>
      <family val="2"/>
    </font>
    <font>
      <sz val="6"/>
      <color indexed="17"/>
      <name val="Calibri"/>
      <family val="2"/>
    </font>
    <font>
      <sz val="11"/>
      <color indexed="12"/>
      <name val="Verdana"/>
      <family val="2"/>
    </font>
    <font>
      <sz val="10"/>
      <color indexed="12"/>
      <name val="Calibri"/>
      <family val="2"/>
    </font>
    <font>
      <sz val="7"/>
      <name val="Calibri"/>
      <family val="2"/>
    </font>
    <font>
      <sz val="7"/>
      <color indexed="18"/>
      <name val="Calibri"/>
      <family val="2"/>
    </font>
    <font>
      <b/>
      <sz val="9"/>
      <color indexed="10"/>
      <name val="Calibri"/>
      <family val="2"/>
    </font>
    <font>
      <sz val="8"/>
      <color indexed="8"/>
      <name val="Calibri"/>
      <family val="2"/>
    </font>
    <font>
      <sz val="9"/>
      <color indexed="12"/>
      <name val="Calibri"/>
      <family val="2"/>
    </font>
    <font>
      <sz val="9"/>
      <color indexed="10"/>
      <name val="Calibri"/>
      <family val="2"/>
    </font>
    <font>
      <sz val="9"/>
      <name val="Calibri"/>
      <family val="2"/>
    </font>
    <font>
      <sz val="9"/>
      <color indexed="10"/>
      <name val="Calibri"/>
      <family val="2"/>
    </font>
    <font>
      <sz val="9"/>
      <color indexed="18"/>
      <name val="Calibri"/>
      <family val="2"/>
    </font>
    <font>
      <sz val="6"/>
      <color indexed="18"/>
      <name val="Calibri"/>
      <family val="2"/>
    </font>
    <font>
      <b/>
      <sz val="6"/>
      <name val="Calibri"/>
      <family val="2"/>
    </font>
    <font>
      <sz val="10"/>
      <color indexed="8"/>
      <name val="Calibri"/>
      <family val="2"/>
    </font>
    <font>
      <sz val="10"/>
      <color indexed="10"/>
      <name val="Calibri"/>
      <family val="2"/>
    </font>
    <font>
      <b/>
      <sz val="9"/>
      <color indexed="8"/>
      <name val="Calibri"/>
      <family val="2"/>
    </font>
    <font>
      <sz val="9"/>
      <color indexed="18"/>
      <name val="Calibri"/>
      <family val="2"/>
    </font>
    <font>
      <b/>
      <sz val="9"/>
      <color indexed="8"/>
      <name val="Calibri"/>
      <family val="2"/>
    </font>
    <font>
      <b/>
      <sz val="7"/>
      <color indexed="12"/>
      <name val="Calibri"/>
      <family val="2"/>
    </font>
    <font>
      <sz val="9"/>
      <color indexed="12"/>
      <name val="Calibri"/>
      <family val="2"/>
    </font>
    <font>
      <b/>
      <sz val="9"/>
      <color indexed="12"/>
      <name val="Calibri"/>
      <family val="2"/>
    </font>
    <font>
      <b/>
      <sz val="12"/>
      <color indexed="12"/>
      <name val="Calibri"/>
      <family val="2"/>
    </font>
    <font>
      <b/>
      <sz val="8"/>
      <color indexed="12"/>
      <name val="Calibri"/>
      <family val="2"/>
    </font>
    <font>
      <sz val="12"/>
      <color indexed="12"/>
      <name val="Calibri"/>
      <family val="2"/>
    </font>
    <font>
      <b/>
      <sz val="9"/>
      <color indexed="10"/>
      <name val="Calibri"/>
      <family val="2"/>
    </font>
    <font>
      <i/>
      <sz val="6"/>
      <color indexed="18"/>
      <name val="Calibri"/>
      <family val="2"/>
    </font>
    <font>
      <b/>
      <sz val="12"/>
      <color indexed="8"/>
      <name val="Calibri"/>
      <family val="2"/>
    </font>
    <font>
      <b/>
      <sz val="7"/>
      <color indexed="8"/>
      <name val="Calibri"/>
      <family val="2"/>
    </font>
    <font>
      <b/>
      <sz val="9"/>
      <color indexed="8"/>
      <name val="Calibri"/>
      <family val="2"/>
    </font>
    <font>
      <sz val="7"/>
      <color indexed="18"/>
      <name val="Calibri"/>
      <family val="2"/>
    </font>
    <font>
      <b/>
      <sz val="8"/>
      <color indexed="10"/>
      <name val="Calibri"/>
      <family val="2"/>
    </font>
    <font>
      <b/>
      <sz val="8"/>
      <name val="Calibri"/>
      <family val="2"/>
    </font>
    <font>
      <sz val="12"/>
      <color indexed="18"/>
      <name val="Calibri"/>
      <family val="2"/>
    </font>
    <font>
      <sz val="7"/>
      <color indexed="10"/>
      <name val="Calibri"/>
      <family val="2"/>
    </font>
    <font>
      <sz val="6"/>
      <color indexed="18"/>
      <name val="Calibri Body"/>
    </font>
    <font>
      <sz val="6"/>
      <color indexed="12"/>
      <name val="Calibri"/>
      <family val="2"/>
    </font>
    <font>
      <sz val="9"/>
      <color indexed="10"/>
      <name val="Calibri"/>
      <family val="2"/>
    </font>
    <font>
      <b/>
      <sz val="7"/>
      <color indexed="10"/>
      <name val="Calibri"/>
      <family val="2"/>
    </font>
    <font>
      <sz val="7"/>
      <color indexed="18"/>
      <name val="Calibri"/>
      <family val="2"/>
    </font>
    <font>
      <b/>
      <sz val="9"/>
      <color indexed="18"/>
      <name val="Calibri"/>
      <family val="2"/>
    </font>
    <font>
      <sz val="12"/>
      <color indexed="18"/>
      <name val="Calibri"/>
      <family val="2"/>
    </font>
    <font>
      <sz val="6"/>
      <color indexed="18"/>
      <name val="Calibri"/>
      <family val="2"/>
    </font>
    <font>
      <b/>
      <sz val="9"/>
      <name val="Calibri"/>
      <family val="2"/>
    </font>
    <font>
      <sz val="12"/>
      <color indexed="8"/>
      <name val="Calibri"/>
      <family val="2"/>
    </font>
    <font>
      <sz val="7"/>
      <color indexed="10"/>
      <name val="Calibri"/>
      <family val="2"/>
    </font>
    <font>
      <b/>
      <sz val="7"/>
      <color indexed="10"/>
      <name val="Calibri"/>
      <family val="2"/>
    </font>
    <font>
      <sz val="9"/>
      <color indexed="8"/>
      <name val="Calibri"/>
      <family val="2"/>
    </font>
    <font>
      <sz val="9"/>
      <color indexed="8"/>
      <name val="Calibri"/>
      <family val="2"/>
    </font>
    <font>
      <b/>
      <sz val="10"/>
      <color indexed="10"/>
      <name val="Calibri"/>
      <family val="2"/>
    </font>
    <font>
      <sz val="8"/>
      <color indexed="8"/>
      <name val="Calibri"/>
      <family val="2"/>
    </font>
    <font>
      <sz val="8"/>
      <color indexed="8"/>
      <name val="Calibri"/>
      <family val="2"/>
    </font>
    <font>
      <b/>
      <sz val="9"/>
      <color indexed="18"/>
      <name val="Calibri"/>
      <family val="2"/>
    </font>
    <font>
      <i/>
      <sz val="8"/>
      <color indexed="8"/>
      <name val="Calibri"/>
      <family val="2"/>
    </font>
    <font>
      <sz val="8"/>
      <color indexed="18"/>
      <name val="Calibri"/>
      <family val="2"/>
    </font>
    <font>
      <b/>
      <sz val="10"/>
      <color indexed="12"/>
      <name val="Calibri"/>
      <family val="2"/>
    </font>
    <font>
      <sz val="12"/>
      <color indexed="48"/>
      <name val="Calibri"/>
      <family val="2"/>
    </font>
    <font>
      <sz val="9"/>
      <color indexed="8"/>
      <name val="Calibri"/>
      <family val="2"/>
    </font>
    <font>
      <sz val="9"/>
      <color indexed="10"/>
      <name val="Calibri Body"/>
    </font>
    <font>
      <sz val="9"/>
      <color indexed="12"/>
      <name val="Verdana"/>
      <family val="2"/>
    </font>
    <font>
      <b/>
      <sz val="14"/>
      <color indexed="12"/>
      <name val="Calibri"/>
      <family val="2"/>
    </font>
    <font>
      <sz val="8"/>
      <color indexed="10"/>
      <name val="Calibri"/>
      <family val="2"/>
    </font>
    <font>
      <sz val="8"/>
      <color indexed="10"/>
      <name val="Calibri"/>
      <family val="2"/>
    </font>
    <font>
      <i/>
      <sz val="8"/>
      <name val="Calibri"/>
      <family val="2"/>
    </font>
    <font>
      <b/>
      <sz val="9"/>
      <color indexed="8"/>
      <name val="Calibri"/>
      <family val="2"/>
    </font>
    <font>
      <sz val="7"/>
      <color indexed="20"/>
      <name val="Calibri"/>
      <family val="2"/>
    </font>
    <font>
      <sz val="8"/>
      <color indexed="12"/>
      <name val="Calibri"/>
      <family val="2"/>
    </font>
    <font>
      <sz val="8"/>
      <color indexed="10"/>
      <name val="Calibri"/>
      <family val="2"/>
    </font>
    <font>
      <b/>
      <sz val="12"/>
      <color indexed="18"/>
      <name val="Calibri"/>
      <family val="2"/>
    </font>
    <font>
      <sz val="10"/>
      <color indexed="18"/>
      <name val="Calibri"/>
      <family val="2"/>
    </font>
    <font>
      <b/>
      <sz val="6"/>
      <color indexed="18"/>
      <name val="Calibri"/>
      <family val="2"/>
    </font>
    <font>
      <i/>
      <sz val="6"/>
      <color indexed="12"/>
      <name val="Calibri"/>
      <family val="2"/>
    </font>
    <font>
      <sz val="6"/>
      <color indexed="12"/>
      <name val="Calibri"/>
      <family val="2"/>
    </font>
    <font>
      <sz val="9"/>
      <color indexed="10"/>
      <name val="Calibri"/>
      <family val="2"/>
    </font>
    <font>
      <b/>
      <sz val="9"/>
      <color indexed="10"/>
      <name val="Calibri"/>
      <family val="2"/>
    </font>
    <font>
      <sz val="9"/>
      <color indexed="17"/>
      <name val="Calibri"/>
      <family val="2"/>
    </font>
    <font>
      <sz val="10"/>
      <color indexed="12"/>
      <name val="Calibri"/>
      <family val="2"/>
    </font>
    <font>
      <b/>
      <sz val="6"/>
      <color indexed="10"/>
      <name val="Calibri"/>
      <family val="2"/>
    </font>
    <font>
      <b/>
      <sz val="8"/>
      <color indexed="8"/>
      <name val="Calibri"/>
      <family val="2"/>
    </font>
    <font>
      <b/>
      <sz val="12"/>
      <color indexed="8"/>
      <name val="Calibri"/>
      <family val="2"/>
    </font>
    <font>
      <b/>
      <sz val="8"/>
      <name val="Calibri"/>
      <family val="2"/>
    </font>
    <font>
      <b/>
      <sz val="8"/>
      <color indexed="8"/>
      <name val="Calibri"/>
      <family val="2"/>
    </font>
    <font>
      <b/>
      <sz val="7"/>
      <color indexed="8"/>
      <name val="Calibri"/>
      <family val="2"/>
    </font>
    <font>
      <sz val="12"/>
      <color indexed="8"/>
      <name val="Calibri"/>
      <family val="2"/>
    </font>
    <font>
      <b/>
      <sz val="9"/>
      <color indexed="10"/>
      <name val="Calibri"/>
      <family val="2"/>
    </font>
    <font>
      <sz val="9"/>
      <color indexed="10"/>
      <name val="Calibri"/>
      <family val="2"/>
    </font>
    <font>
      <b/>
      <sz val="9"/>
      <color indexed="8"/>
      <name val="Calibri"/>
      <family val="2"/>
    </font>
    <font>
      <b/>
      <sz val="9"/>
      <color indexed="8"/>
      <name val="Calibri"/>
      <family val="2"/>
    </font>
    <font>
      <b/>
      <sz val="9"/>
      <color indexed="18"/>
      <name val="Calibri"/>
      <family val="2"/>
    </font>
    <font>
      <sz val="12"/>
      <color indexed="12"/>
      <name val="Calibri"/>
      <family val="2"/>
    </font>
    <font>
      <sz val="12"/>
      <color indexed="10"/>
      <name val="Calibri"/>
      <family val="2"/>
    </font>
    <font>
      <b/>
      <sz val="7"/>
      <color indexed="10"/>
      <name val="Calibri"/>
      <family val="2"/>
    </font>
    <font>
      <b/>
      <sz val="9"/>
      <color indexed="12"/>
      <name val="Calibri"/>
      <family val="2"/>
    </font>
    <font>
      <b/>
      <sz val="9"/>
      <color indexed="10"/>
      <name val="Calibri"/>
      <family val="2"/>
    </font>
    <font>
      <sz val="6"/>
      <color indexed="18"/>
      <name val="Calibri"/>
      <family val="2"/>
    </font>
    <font>
      <sz val="9"/>
      <color indexed="8"/>
      <name val="Calibri"/>
      <family val="2"/>
    </font>
    <font>
      <sz val="9"/>
      <color indexed="18"/>
      <name val="Calibri"/>
      <family val="2"/>
    </font>
    <font>
      <sz val="9"/>
      <color indexed="10"/>
      <name val="Calibri"/>
      <family val="2"/>
    </font>
    <font>
      <i/>
      <sz val="6"/>
      <color indexed="18"/>
      <name val="Calibri"/>
      <family val="2"/>
    </font>
    <font>
      <b/>
      <sz val="14"/>
      <color indexed="12"/>
      <name val="Calibri"/>
      <family val="2"/>
    </font>
    <font>
      <sz val="14"/>
      <color indexed="12"/>
      <name val="Calibri"/>
      <family val="2"/>
    </font>
    <font>
      <sz val="12"/>
      <color indexed="12"/>
      <name val="Calibri"/>
      <family val="2"/>
    </font>
    <font>
      <sz val="8"/>
      <color indexed="18"/>
      <name val="Calibri"/>
      <family val="2"/>
    </font>
    <font>
      <sz val="12"/>
      <color indexed="18"/>
      <name val="Calibri"/>
      <family val="2"/>
    </font>
    <font>
      <sz val="9"/>
      <color indexed="8"/>
      <name val="Calibri"/>
      <family val="2"/>
    </font>
    <font>
      <b/>
      <sz val="9"/>
      <color indexed="8"/>
      <name val="Calibri"/>
      <family val="2"/>
    </font>
    <font>
      <b/>
      <sz val="9"/>
      <color indexed="18"/>
      <name val="Calibri"/>
      <family val="2"/>
    </font>
    <font>
      <sz val="12"/>
      <color indexed="18"/>
      <name val="Calibri"/>
      <family val="2"/>
    </font>
    <font>
      <sz val="12"/>
      <color indexed="12"/>
      <name val="Calibri"/>
      <family val="2"/>
    </font>
    <font>
      <b/>
      <sz val="7"/>
      <color indexed="12"/>
      <name val="Calibri"/>
      <family val="2"/>
    </font>
    <font>
      <b/>
      <sz val="9"/>
      <color indexed="12"/>
      <name val="Calibri"/>
      <family val="2"/>
    </font>
    <font>
      <sz val="8"/>
      <color indexed="12"/>
      <name val="Calibri"/>
      <family val="2"/>
    </font>
    <font>
      <b/>
      <sz val="7"/>
      <color indexed="8"/>
      <name val="Calibri"/>
      <family val="2"/>
    </font>
    <font>
      <b/>
      <sz val="9"/>
      <color indexed="8"/>
      <name val="Calibri"/>
      <family val="2"/>
    </font>
    <font>
      <sz val="7"/>
      <color indexed="18"/>
      <name val="Calibri"/>
      <family val="2"/>
    </font>
    <font>
      <sz val="12"/>
      <color indexed="8"/>
      <name val="Calibri"/>
      <family val="2"/>
    </font>
    <font>
      <sz val="6"/>
      <color indexed="18"/>
      <name val="Verdana"/>
      <family val="2"/>
    </font>
    <font>
      <sz val="6"/>
      <color indexed="18"/>
      <name val="Calibri"/>
      <family val="2"/>
    </font>
    <font>
      <b/>
      <sz val="9"/>
      <color indexed="8"/>
      <name val="Calibri"/>
      <family val="2"/>
    </font>
    <font>
      <sz val="8"/>
      <color indexed="10"/>
      <name val="Calibri"/>
      <family val="2"/>
    </font>
    <font>
      <sz val="12"/>
      <color indexed="10"/>
      <name val="Calibri"/>
      <family val="2"/>
    </font>
    <font>
      <sz val="7"/>
      <color indexed="18"/>
      <name val="Calibri"/>
      <family val="2"/>
    </font>
    <font>
      <sz val="9"/>
      <color indexed="10"/>
      <name val="Calibri"/>
      <family val="2"/>
    </font>
    <font>
      <sz val="9"/>
      <color indexed="18"/>
      <name val="Calibri"/>
      <family val="2"/>
    </font>
    <font>
      <b/>
      <sz val="9"/>
      <color indexed="10"/>
      <name val="Calibri"/>
      <family val="2"/>
    </font>
    <font>
      <sz val="12"/>
      <color indexed="14"/>
      <name val="Calibri"/>
      <family val="2"/>
    </font>
    <font>
      <b/>
      <sz val="9"/>
      <color indexed="14"/>
      <name val="Calibri"/>
      <family val="2"/>
    </font>
    <font>
      <sz val="9"/>
      <color indexed="14"/>
      <name val="Calibri"/>
      <family val="2"/>
    </font>
    <font>
      <sz val="12"/>
      <color rgb="FF9C0006"/>
      <name val="Calibri"/>
      <family val="2"/>
      <scheme val="minor"/>
    </font>
    <font>
      <u/>
      <sz val="12"/>
      <color theme="10"/>
      <name val="Calibri"/>
      <family val="2"/>
      <scheme val="minor"/>
    </font>
    <font>
      <b/>
      <sz val="14"/>
      <color rgb="FFFF0000"/>
      <name val="Calibri"/>
      <family val="2"/>
      <scheme val="minor"/>
    </font>
    <font>
      <b/>
      <sz val="14"/>
      <color rgb="FFFF0000"/>
      <name val="Calibri"/>
      <family val="2"/>
    </font>
    <font>
      <sz val="7"/>
      <color theme="1"/>
      <name val="Calibri"/>
      <family val="2"/>
    </font>
    <font>
      <i/>
      <sz val="7"/>
      <color theme="1"/>
      <name val="Calibri"/>
      <family val="2"/>
    </font>
    <font>
      <sz val="12"/>
      <color theme="1"/>
      <name val="Calibri"/>
      <family val="2"/>
    </font>
    <font>
      <b/>
      <sz val="9"/>
      <color rgb="FFFF0000"/>
      <name val="Calibri"/>
      <family val="2"/>
    </font>
    <font>
      <sz val="9"/>
      <color theme="1"/>
      <name val="Calibri"/>
      <family val="2"/>
    </font>
    <font>
      <sz val="6.5"/>
      <color indexed="18"/>
      <name val="Calibri"/>
      <family val="2"/>
    </font>
    <font>
      <sz val="6"/>
      <color theme="1"/>
      <name val="Calibri"/>
      <family val="2"/>
    </font>
    <font>
      <b/>
      <sz val="9"/>
      <color theme="1"/>
      <name val="Calibri"/>
      <family val="2"/>
    </font>
    <font>
      <sz val="6"/>
      <color theme="1"/>
      <name val="Verdana"/>
      <family val="2"/>
    </font>
    <font>
      <sz val="9"/>
      <color indexed="8"/>
      <name val="Calibri (Body)_x0000_"/>
    </font>
    <font>
      <sz val="9"/>
      <color theme="1"/>
      <name val="Calibri (Body)_x0000_"/>
    </font>
    <font>
      <sz val="9"/>
      <color indexed="10"/>
      <name val="Calibri (Body)_x0000_"/>
    </font>
    <font>
      <sz val="9"/>
      <color indexed="17"/>
      <name val="Calibri (Body)_x0000_"/>
    </font>
    <font>
      <sz val="9"/>
      <color rgb="FFFF0000"/>
      <name val="Calibri"/>
      <family val="2"/>
      <scheme val="minor"/>
    </font>
    <font>
      <sz val="6"/>
      <color theme="1"/>
      <name val="Calibri"/>
      <family val="2"/>
      <scheme val="minor"/>
    </font>
    <font>
      <sz val="9"/>
      <color rgb="FFFF0000"/>
      <name val="Calibri"/>
      <family val="2"/>
    </font>
    <font>
      <sz val="6.5"/>
      <color theme="1"/>
      <name val="Calibri"/>
      <family val="2"/>
      <scheme val="minor"/>
    </font>
    <font>
      <sz val="6"/>
      <color indexed="8"/>
      <name val="Calibri (Body)_x0000_"/>
    </font>
    <font>
      <sz val="6"/>
      <color theme="1"/>
      <name val="Calibri (Body)_x0000_"/>
    </font>
    <font>
      <i/>
      <sz val="6"/>
      <color indexed="8"/>
      <name val="Calibri (Body)_x0000_"/>
    </font>
    <font>
      <sz val="6.5"/>
      <color indexed="8"/>
      <name val="Calibri (Body)_x0000_"/>
    </font>
    <font>
      <i/>
      <sz val="6.5"/>
      <color indexed="8"/>
      <name val="Calibri (Body)_x0000_"/>
    </font>
    <font>
      <sz val="6.5"/>
      <color theme="1"/>
      <name val="Calibri (Body)_x0000_"/>
    </font>
    <font>
      <sz val="6"/>
      <color indexed="8"/>
      <name val="Calibri"/>
      <family val="2"/>
      <scheme val="minor"/>
    </font>
    <font>
      <i/>
      <sz val="6"/>
      <color rgb="FF0070C0"/>
      <name val="Calibri (Body)_x0000_"/>
    </font>
    <font>
      <sz val="9"/>
      <color rgb="FFFF0000"/>
      <name val="Calibri (Body)_x0000_"/>
    </font>
    <font>
      <sz val="12"/>
      <color theme="1"/>
      <name val="Calibri (Body)_x0000_"/>
    </font>
    <font>
      <sz val="6.5"/>
      <color theme="1"/>
      <name val="Calibri"/>
      <family val="2"/>
    </font>
    <font>
      <b/>
      <sz val="12"/>
      <color theme="1"/>
      <name val="Calibri"/>
      <family val="2"/>
    </font>
    <font>
      <b/>
      <sz val="7"/>
      <color theme="1"/>
      <name val="Calibri"/>
      <family val="2"/>
    </font>
    <font>
      <u/>
      <sz val="6"/>
      <color theme="1"/>
      <name val="Verdana"/>
      <family val="2"/>
    </font>
    <font>
      <b/>
      <sz val="9"/>
      <color rgb="FFFF0000"/>
      <name val="Calibri (Body)_x0000_"/>
    </font>
    <font>
      <sz val="12"/>
      <color rgb="FFFF0000"/>
      <name val="Calibri (Body)_x0000_"/>
    </font>
    <font>
      <sz val="9"/>
      <color theme="1"/>
      <name val="Calibri"/>
      <family val="2"/>
      <scheme val="minor"/>
    </font>
    <font>
      <b/>
      <sz val="9"/>
      <color theme="1"/>
      <name val="Calibri (Body)_x0000_"/>
    </font>
    <font>
      <b/>
      <sz val="14"/>
      <color rgb="FFFF0000"/>
      <name val="Calibri (Body)_x0000_"/>
    </font>
    <font>
      <sz val="8"/>
      <color indexed="18"/>
      <name val="Calibri Body"/>
    </font>
    <font>
      <sz val="8"/>
      <color theme="1"/>
      <name val="Calibri"/>
      <family val="2"/>
      <scheme val="minor"/>
    </font>
    <font>
      <sz val="8"/>
      <color indexed="18"/>
      <name val="Verdana"/>
      <family val="2"/>
    </font>
    <font>
      <sz val="8"/>
      <color indexed="28"/>
      <name val="Calibri"/>
      <family val="2"/>
    </font>
    <font>
      <sz val="10"/>
      <color rgb="FFFF0000"/>
      <name val="Calibri"/>
      <family val="2"/>
    </font>
    <font>
      <b/>
      <sz val="9"/>
      <color indexed="10"/>
      <name val="Calibri (Body)_x0000_"/>
    </font>
    <font>
      <sz val="10"/>
      <color theme="1"/>
      <name val="Calibri"/>
      <family val="2"/>
    </font>
    <font>
      <b/>
      <sz val="9"/>
      <color indexed="8"/>
      <name val="Calibri (Body)_x0000_"/>
    </font>
    <font>
      <sz val="9"/>
      <color indexed="18"/>
      <name val="Calibri (Body)_x0000_"/>
    </font>
    <font>
      <sz val="9"/>
      <color indexed="48"/>
      <name val="Calibri (Body)_x0000_"/>
    </font>
    <font>
      <sz val="9"/>
      <color indexed="12"/>
      <name val="Calibri (Body)_x0000_"/>
    </font>
    <font>
      <b/>
      <sz val="9"/>
      <name val="Calibri (Body)_x0000_"/>
    </font>
    <font>
      <b/>
      <sz val="9"/>
      <color indexed="17"/>
      <name val="Calibri (Body)_x0000_"/>
    </font>
    <font>
      <sz val="9"/>
      <color rgb="FF002060"/>
      <name val="Calibri"/>
      <family val="2"/>
    </font>
    <font>
      <sz val="6"/>
      <color rgb="FF3366FF"/>
      <name val="Calibri"/>
      <family val="2"/>
    </font>
    <font>
      <sz val="7"/>
      <color rgb="FFFF2600"/>
      <name val="Calibri"/>
      <family val="2"/>
      <scheme val="minor"/>
    </font>
    <font>
      <b/>
      <sz val="7"/>
      <color rgb="FFFF2600"/>
      <name val="Calibri"/>
      <family val="2"/>
      <scheme val="minor"/>
    </font>
    <font>
      <sz val="7"/>
      <color rgb="FF011993"/>
      <name val="Calibri"/>
      <family val="2"/>
      <scheme val="minor"/>
    </font>
    <font>
      <sz val="9"/>
      <color rgb="FF000090"/>
      <name val="Calibri"/>
      <family val="2"/>
      <scheme val="minor"/>
    </font>
    <font>
      <b/>
      <sz val="9"/>
      <color rgb="FF000000"/>
      <name val="Calibri"/>
      <family val="2"/>
    </font>
    <font>
      <sz val="9"/>
      <color indexed="17"/>
      <name val="Calibri Body"/>
    </font>
    <font>
      <sz val="8"/>
      <color rgb="FF000090"/>
      <name val="Calibri"/>
      <family val="2"/>
      <scheme val="minor"/>
    </font>
    <font>
      <b/>
      <sz val="9"/>
      <color rgb="FF000090"/>
      <name val="Calibri"/>
      <family val="2"/>
      <scheme val="minor"/>
    </font>
    <font>
      <sz val="6.5"/>
      <color rgb="FF000080"/>
      <name val="Calibri"/>
      <family val="2"/>
    </font>
    <font>
      <b/>
      <sz val="6.5"/>
      <color theme="1"/>
      <name val="Calibri"/>
      <family val="2"/>
      <scheme val="minor"/>
    </font>
    <font>
      <sz val="7"/>
      <color indexed="18"/>
      <name val="Calibri (Body)_x0000_"/>
    </font>
    <font>
      <sz val="7"/>
      <color theme="1"/>
      <name val="Calibri (Body)_x0000_"/>
    </font>
    <font>
      <sz val="8"/>
      <color rgb="FFFF0000"/>
      <name val="Calibri"/>
      <family val="2"/>
    </font>
    <font>
      <b/>
      <sz val="14"/>
      <color rgb="FF3366FF"/>
      <name val="Calibri"/>
      <family val="2"/>
    </font>
    <font>
      <sz val="7"/>
      <color theme="1"/>
      <name val="Calibri"/>
      <family val="2"/>
      <scheme val="minor"/>
    </font>
    <font>
      <b/>
      <sz val="12"/>
      <color rgb="FFFF0000"/>
      <name val="Calibri"/>
      <family val="2"/>
    </font>
    <font>
      <sz val="12"/>
      <color rgb="FFFF0000"/>
      <name val="Calibri"/>
      <family val="2"/>
    </font>
    <font>
      <sz val="7"/>
      <color rgb="FFFF0000"/>
      <name val="Calibri"/>
      <family val="2"/>
    </font>
    <font>
      <sz val="7"/>
      <color rgb="FF3366FF"/>
      <name val="Calibri"/>
      <family val="2"/>
    </font>
    <font>
      <b/>
      <sz val="7"/>
      <color theme="1"/>
      <name val="Calibri"/>
      <family val="2"/>
      <scheme val="minor"/>
    </font>
    <font>
      <sz val="7.5"/>
      <color indexed="18"/>
      <name val="Calibri"/>
      <family val="2"/>
    </font>
    <font>
      <sz val="7"/>
      <color rgb="FF000090"/>
      <name val="Calibri"/>
      <family val="2"/>
    </font>
    <font>
      <b/>
      <sz val="7.5"/>
      <color indexed="10"/>
      <name val="Calibri"/>
      <family val="2"/>
    </font>
    <font>
      <u/>
      <sz val="12"/>
      <color theme="11"/>
      <name val="Calibri"/>
      <family val="2"/>
      <charset val="204"/>
      <scheme val="minor"/>
    </font>
    <font>
      <b/>
      <sz val="8"/>
      <color rgb="FFFF0000"/>
      <name val="Calibri"/>
      <family val="2"/>
    </font>
    <font>
      <b/>
      <sz val="9"/>
      <color theme="1"/>
      <name val="Calibri body"/>
    </font>
    <font>
      <b/>
      <sz val="9"/>
      <color indexed="8"/>
      <name val="Calibri body"/>
    </font>
    <font>
      <b/>
      <sz val="9"/>
      <color theme="1"/>
      <name val="Calibri Bold"/>
    </font>
    <font>
      <b/>
      <sz val="9"/>
      <color indexed="8"/>
      <name val="Calibri Bold"/>
    </font>
    <font>
      <sz val="6"/>
      <color rgb="FF0000FF"/>
      <name val="Calibri"/>
      <family val="2"/>
    </font>
    <font>
      <sz val="6"/>
      <color rgb="FF000090"/>
      <name val="Calibri"/>
      <family val="2"/>
      <scheme val="minor"/>
    </font>
    <font>
      <sz val="6"/>
      <color rgb="FF0000FF"/>
      <name val="Calibri"/>
      <family val="2"/>
      <scheme val="minor"/>
    </font>
    <font>
      <b/>
      <sz val="12"/>
      <color indexed="12"/>
      <name val="Calibri (Body)_x0000_"/>
    </font>
    <font>
      <b/>
      <sz val="12"/>
      <color rgb="FFFF0000"/>
      <name val="Calibri (Body)_x0000_"/>
    </font>
    <font>
      <sz val="12"/>
      <color indexed="12"/>
      <name val="Calibri (Body)_x0000_"/>
    </font>
    <font>
      <b/>
      <sz val="12"/>
      <color rgb="FF0000FF"/>
      <name val="Calibri (Body)_x0000_"/>
    </font>
    <font>
      <b/>
      <sz val="12"/>
      <color theme="1"/>
      <name val="Calibri"/>
      <family val="2"/>
      <scheme val="minor"/>
    </font>
    <font>
      <b/>
      <sz val="9"/>
      <color theme="1"/>
      <name val="Calibri"/>
      <family val="2"/>
      <scheme val="minor"/>
    </font>
    <font>
      <b/>
      <u/>
      <sz val="9"/>
      <color theme="1"/>
      <name val="Calibri (Body)_x0000_"/>
    </font>
    <font>
      <b/>
      <sz val="10"/>
      <color theme="1"/>
      <name val="Calibri"/>
      <family val="2"/>
      <scheme val="minor"/>
    </font>
    <font>
      <b/>
      <u/>
      <sz val="10"/>
      <color theme="1"/>
      <name val="Calibri (Body)_x0000_"/>
    </font>
    <font>
      <sz val="10"/>
      <color theme="1"/>
      <name val="Calibri"/>
      <family val="2"/>
      <scheme val="minor"/>
    </font>
    <font>
      <b/>
      <sz val="10"/>
      <color theme="1"/>
      <name val="Calibri (Body)_x0000_"/>
    </font>
    <font>
      <b/>
      <sz val="12"/>
      <color rgb="FF0000FF"/>
      <name val="Calibri"/>
      <family val="2"/>
    </font>
    <font>
      <sz val="6"/>
      <color indexed="8"/>
      <name val="Verdana"/>
      <family val="2"/>
    </font>
    <font>
      <b/>
      <sz val="14"/>
      <name val="Calibri"/>
      <family val="2"/>
    </font>
    <font>
      <b/>
      <sz val="14"/>
      <color theme="1"/>
      <name val="Calibri"/>
      <family val="2"/>
      <scheme val="minor"/>
    </font>
    <font>
      <b/>
      <sz val="12"/>
      <color indexed="8"/>
      <name val="Calibri"/>
      <family val="2"/>
      <scheme val="minor"/>
    </font>
    <font>
      <b/>
      <sz val="12"/>
      <color theme="1"/>
      <name val="Calibri"/>
      <family val="2"/>
      <charset val="204"/>
      <scheme val="minor"/>
    </font>
    <font>
      <sz val="9"/>
      <color theme="1"/>
      <name val="Calibri"/>
      <family val="2"/>
      <charset val="204"/>
      <scheme val="minor"/>
    </font>
    <font>
      <sz val="6"/>
      <color rgb="FFFF0000"/>
      <name val="Calibri"/>
      <family val="2"/>
    </font>
    <font>
      <sz val="9"/>
      <color rgb="FF002060"/>
      <name val="Verdana"/>
      <family val="2"/>
    </font>
    <font>
      <b/>
      <sz val="9"/>
      <color rgb="FF002060"/>
      <name val="Calibri"/>
      <family val="2"/>
    </font>
    <font>
      <b/>
      <sz val="12"/>
      <color rgb="FF002060"/>
      <name val="Calibri"/>
      <family val="2"/>
      <scheme val="minor"/>
    </font>
    <font>
      <b/>
      <sz val="12"/>
      <color indexed="8"/>
      <name val="Calibri (Body)_x0000_"/>
    </font>
    <font>
      <b/>
      <sz val="8"/>
      <color indexed="12"/>
      <name val="Calibri (Body)_x0000_"/>
    </font>
    <font>
      <sz val="8"/>
      <color indexed="18"/>
      <name val="Calibri (Body)_x0000_"/>
    </font>
    <font>
      <sz val="8"/>
      <color theme="1"/>
      <name val="Calibri (Body)_x0000_"/>
    </font>
    <font>
      <sz val="8"/>
      <color indexed="12"/>
      <name val="Calibri (Body)_x0000_"/>
    </font>
    <font>
      <sz val="8"/>
      <color indexed="8"/>
      <name val="Calibri (Body)_x0000_"/>
    </font>
    <font>
      <sz val="10"/>
      <color indexed="17"/>
      <name val="Calibri"/>
      <family val="2"/>
    </font>
    <font>
      <sz val="7"/>
      <color rgb="FF000080"/>
      <name val="Calibri"/>
      <family val="2"/>
      <scheme val="minor"/>
    </font>
    <font>
      <b/>
      <sz val="9"/>
      <color rgb="FFFF0000"/>
      <name val="Calibri"/>
      <family val="2"/>
      <scheme val="minor"/>
    </font>
    <font>
      <sz val="10"/>
      <color rgb="FF0000FF"/>
      <name val="Calibri"/>
      <family val="2"/>
    </font>
    <font>
      <sz val="12"/>
      <color rgb="FF0000FF"/>
      <name val="Calibri"/>
      <family val="2"/>
    </font>
    <font>
      <b/>
      <sz val="9"/>
      <color rgb="FF0000FF"/>
      <name val="Calibri"/>
      <family val="2"/>
    </font>
    <font>
      <b/>
      <sz val="7"/>
      <color rgb="FF0000FF"/>
      <name val="Calibri"/>
      <family val="2"/>
    </font>
    <font>
      <sz val="9"/>
      <color rgb="FF0000FF"/>
      <name val="Calibri"/>
      <family val="2"/>
    </font>
    <font>
      <sz val="12"/>
      <color rgb="FF0000FF"/>
      <name val="Calibri"/>
      <family val="2"/>
      <charset val="204"/>
      <scheme val="minor"/>
    </font>
    <font>
      <b/>
      <sz val="9"/>
      <color rgb="FF0000FF"/>
      <name val="Calibri (Body)_x0000_"/>
    </font>
    <font>
      <sz val="6"/>
      <color rgb="FF660066"/>
      <name val="Calibri"/>
      <family val="2"/>
      <scheme val="minor"/>
    </font>
    <font>
      <sz val="9"/>
      <color rgb="FF000000"/>
      <name val="Calibri"/>
      <family val="2"/>
      <scheme val="minor"/>
    </font>
    <font>
      <b/>
      <sz val="9"/>
      <color rgb="FF000000"/>
      <name val="Calibri"/>
      <family val="2"/>
      <scheme val="minor"/>
    </font>
    <font>
      <b/>
      <sz val="8"/>
      <color theme="1"/>
      <name val="Calibri"/>
      <family val="2"/>
      <scheme val="minor"/>
    </font>
    <font>
      <b/>
      <sz val="12"/>
      <color rgb="FFFF0000"/>
      <name val="Calibri"/>
      <family val="2"/>
      <scheme val="minor"/>
    </font>
    <font>
      <b/>
      <sz val="10"/>
      <color rgb="FF00B0F0"/>
      <name val="Calibri"/>
      <family val="2"/>
      <scheme val="minor"/>
    </font>
    <font>
      <sz val="7"/>
      <color rgb="FF000090"/>
      <name val="Calibri"/>
      <family val="2"/>
      <scheme val="minor"/>
    </font>
    <font>
      <b/>
      <sz val="7"/>
      <color rgb="FF000090"/>
      <name val="Calibri"/>
      <family val="2"/>
      <scheme val="minor"/>
    </font>
    <font>
      <sz val="7"/>
      <color rgb="FF0000FF"/>
      <name val="Calibri (Body)_x0000_"/>
    </font>
    <font>
      <b/>
      <sz val="7"/>
      <color rgb="FF0000FF"/>
      <name val="Calibri"/>
      <family val="2"/>
      <scheme val="minor"/>
    </font>
    <font>
      <sz val="7"/>
      <color rgb="FF0000FF"/>
      <name val="Calibri"/>
      <family val="2"/>
    </font>
    <font>
      <sz val="6.5"/>
      <color rgb="FF0000FF"/>
      <name val="Calibri"/>
      <family val="2"/>
    </font>
    <font>
      <sz val="8"/>
      <color theme="1"/>
      <name val="Calibri"/>
      <family val="2"/>
    </font>
    <font>
      <b/>
      <sz val="7"/>
      <name val="Calibri (Body)_x0000_"/>
    </font>
    <font>
      <b/>
      <sz val="7"/>
      <color indexed="8"/>
      <name val="Calibri (Body)_x0000_"/>
    </font>
    <font>
      <sz val="7"/>
      <color indexed="12"/>
      <name val="Calibri (Body)_x0000_"/>
    </font>
    <font>
      <b/>
      <sz val="7"/>
      <color indexed="18"/>
      <name val="Calibri (Body)_x0000_"/>
    </font>
    <font>
      <b/>
      <sz val="7"/>
      <color theme="1"/>
      <name val="Calibri (Body)_x0000_"/>
    </font>
    <font>
      <sz val="7"/>
      <color rgb="FF000080"/>
      <name val="Calibri"/>
      <family val="2"/>
    </font>
    <font>
      <sz val="7"/>
      <color rgb="FFFF0000"/>
      <name val="Calibri Body"/>
    </font>
    <font>
      <i/>
      <sz val="6"/>
      <color theme="1"/>
      <name val="Calibri"/>
      <family val="2"/>
    </font>
    <font>
      <sz val="6"/>
      <color rgb="FF0000FF"/>
      <name val="Calibri (Body)_x0000_"/>
    </font>
    <font>
      <sz val="6"/>
      <color theme="1"/>
      <name val="Calibri Body"/>
    </font>
    <font>
      <sz val="6.5"/>
      <color indexed="17"/>
      <name val="Calibri"/>
      <family val="2"/>
    </font>
    <font>
      <i/>
      <sz val="6.5"/>
      <color theme="1"/>
      <name val="Calibri"/>
      <family val="2"/>
    </font>
    <font>
      <sz val="6.5"/>
      <color indexed="12"/>
      <name val="Calibri"/>
      <family val="2"/>
    </font>
    <font>
      <sz val="6.5"/>
      <color theme="1"/>
      <name val="Calibri"/>
      <family val="2"/>
      <charset val="204"/>
      <scheme val="minor"/>
    </font>
    <font>
      <i/>
      <sz val="6.5"/>
      <color indexed="18"/>
      <name val="Calibri"/>
      <family val="2"/>
    </font>
    <font>
      <i/>
      <sz val="6.5"/>
      <color indexed="12"/>
      <name val="Calibri"/>
      <family val="2"/>
    </font>
    <font>
      <sz val="6.5"/>
      <color rgb="FF000090"/>
      <name val="Calibri"/>
      <family val="2"/>
      <scheme val="minor"/>
    </font>
    <font>
      <sz val="6.5"/>
      <color rgb="FF0000FF"/>
      <name val="Calibri (Body)_x0000_"/>
    </font>
    <font>
      <sz val="6.5"/>
      <color theme="1"/>
      <name val="Calibri Body"/>
    </font>
    <font>
      <i/>
      <sz val="8"/>
      <color theme="1"/>
      <name val="Calibri"/>
      <family val="2"/>
    </font>
    <font>
      <i/>
      <sz val="8"/>
      <color theme="1"/>
      <name val="Calibri"/>
      <family val="2"/>
      <scheme val="minor"/>
    </font>
    <font>
      <sz val="8"/>
      <color rgb="FF0000FF"/>
      <name val="Calibri (Body)_x0000_"/>
    </font>
    <font>
      <sz val="7"/>
      <color indexed="8"/>
      <name val="Calibri (Body)_x0000_"/>
    </font>
    <font>
      <b/>
      <sz val="7"/>
      <color rgb="FFFF0000"/>
      <name val="Calibri (Body)_x0000_"/>
    </font>
    <font>
      <sz val="7"/>
      <color rgb="FFFF0000"/>
      <name val="Calibri (Body)_x0000_"/>
    </font>
    <font>
      <b/>
      <sz val="7"/>
      <color indexed="10"/>
      <name val="Calibri (Body)_x0000_"/>
    </font>
    <font>
      <sz val="7"/>
      <name val="Calibri (Body)_x0000_"/>
    </font>
    <font>
      <i/>
      <sz val="6"/>
      <color theme="1"/>
      <name val="Calibri (Body)_x0000_"/>
    </font>
    <font>
      <sz val="7"/>
      <color indexed="28"/>
      <name val="Calibri (Body)_x0000_"/>
    </font>
    <font>
      <sz val="6.5"/>
      <color rgb="FF0000FF"/>
      <name val="Calibri"/>
      <family val="2"/>
      <scheme val="minor"/>
    </font>
    <font>
      <i/>
      <sz val="6"/>
      <color rgb="FF0000FF"/>
      <name val="Calibri (Body)_x0000_"/>
    </font>
    <font>
      <sz val="6"/>
      <color theme="1"/>
      <name val="Calibri"/>
      <family val="2"/>
      <charset val="204"/>
      <scheme val="minor"/>
    </font>
    <font>
      <sz val="7"/>
      <color indexed="17"/>
      <name val="Calibri (Body)_x0000_"/>
    </font>
    <font>
      <sz val="7"/>
      <color indexed="10"/>
      <name val="Calibri (Body)_x0000_"/>
    </font>
    <font>
      <i/>
      <sz val="6"/>
      <color rgb="FF0000FF"/>
      <name val="Calibri"/>
      <family val="2"/>
    </font>
    <font>
      <b/>
      <sz val="6"/>
      <color theme="1"/>
      <name val="Calibri"/>
      <family val="2"/>
    </font>
    <font>
      <i/>
      <sz val="6"/>
      <color theme="1"/>
      <name val="Calibri"/>
      <family val="2"/>
      <scheme val="minor"/>
    </font>
    <font>
      <sz val="10"/>
      <color theme="1"/>
      <name val="Calibri (Body)_x0000_"/>
    </font>
    <font>
      <i/>
      <sz val="7"/>
      <color theme="1"/>
      <name val="Calibri (Body)_x0000_"/>
    </font>
    <font>
      <sz val="6"/>
      <color theme="1"/>
      <name val="Calibri (Body)"/>
    </font>
    <font>
      <b/>
      <sz val="7"/>
      <color indexed="12"/>
      <name val="Calibri (Body)_x0000_"/>
    </font>
    <font>
      <sz val="7"/>
      <color rgb="FFFF0000"/>
      <name val="Calibri"/>
      <family val="2"/>
      <scheme val="minor"/>
    </font>
    <font>
      <sz val="7"/>
      <color rgb="FF000090"/>
      <name val="Calibri (Body)_x0000_"/>
    </font>
    <font>
      <sz val="7"/>
      <color rgb="FF0000FF"/>
      <name val="Calibri"/>
      <family val="2"/>
      <scheme val="minor"/>
    </font>
    <font>
      <sz val="7"/>
      <color rgb="FF660066"/>
      <name val="Calibri (Body)_x0000_"/>
    </font>
    <font>
      <u/>
      <sz val="7"/>
      <color theme="1"/>
      <name val="Calibri (Body)_x0000_"/>
    </font>
    <font>
      <b/>
      <sz val="7"/>
      <color indexed="17"/>
      <name val="Calibri (Body)_x0000_"/>
    </font>
    <font>
      <i/>
      <sz val="7"/>
      <color theme="1"/>
      <name val="Calibri"/>
      <family val="2"/>
      <scheme val="minor"/>
    </font>
    <font>
      <i/>
      <sz val="6"/>
      <color indexed="8"/>
      <name val="Calibri"/>
      <family val="2"/>
      <scheme val="minor"/>
    </font>
    <font>
      <b/>
      <sz val="7"/>
      <color rgb="FF0000FF"/>
      <name val="Calibri (Body)_x0000_"/>
    </font>
    <font>
      <u/>
      <sz val="6"/>
      <color theme="1"/>
      <name val="Calibri"/>
      <family val="2"/>
      <scheme val="minor"/>
    </font>
    <font>
      <sz val="6"/>
      <color theme="1"/>
      <name val="Calibri "/>
    </font>
    <font>
      <b/>
      <sz val="6"/>
      <color theme="1"/>
      <name val="Calibri (Body)_x0000_"/>
    </font>
    <font>
      <b/>
      <sz val="12"/>
      <color theme="1"/>
      <name val="Calibri (Body)_x0000_"/>
    </font>
    <font>
      <b/>
      <sz val="7"/>
      <color rgb="FF000000"/>
      <name val="Calibri"/>
      <family val="2"/>
    </font>
    <font>
      <sz val="7.5"/>
      <color rgb="FF0000FF"/>
      <name val="Calibri"/>
      <family val="2"/>
    </font>
    <font>
      <sz val="7.5"/>
      <color theme="1"/>
      <name val="Calibri"/>
      <family val="2"/>
    </font>
    <font>
      <b/>
      <sz val="14"/>
      <color indexed="8"/>
      <name val="Calibri"/>
      <family val="2"/>
      <scheme val="minor"/>
    </font>
    <font>
      <sz val="8"/>
      <color theme="1"/>
      <name val="Calibri"/>
      <family val="2"/>
      <charset val="204"/>
      <scheme val="minor"/>
    </font>
    <font>
      <b/>
      <sz val="8"/>
      <color theme="1"/>
      <name val="Calibri (Body)_x0000_"/>
    </font>
    <font>
      <b/>
      <sz val="8"/>
      <color theme="1"/>
      <name val="Calibri"/>
      <family val="2"/>
      <charset val="204"/>
      <scheme val="minor"/>
    </font>
    <font>
      <sz val="6"/>
      <color indexed="18"/>
      <name val="Calibri (Body)_x0000_"/>
    </font>
    <font>
      <b/>
      <sz val="6"/>
      <color theme="1"/>
      <name val="Calibri"/>
      <family val="2"/>
      <scheme val="minor"/>
    </font>
    <font>
      <b/>
      <sz val="7"/>
      <name val="Calibri"/>
      <family val="2"/>
      <scheme val="minor"/>
    </font>
    <font>
      <b/>
      <sz val="7"/>
      <color indexed="8"/>
      <name val="Calibri"/>
      <family val="2"/>
      <scheme val="minor"/>
    </font>
    <font>
      <sz val="7"/>
      <color indexed="8"/>
      <name val="Calibri"/>
      <family val="2"/>
      <scheme val="minor"/>
    </font>
    <font>
      <b/>
      <sz val="7"/>
      <color rgb="FFFF0000"/>
      <name val="Calibri"/>
      <family val="2"/>
      <scheme val="minor"/>
    </font>
    <font>
      <b/>
      <sz val="7"/>
      <color indexed="10"/>
      <name val="Calibri"/>
      <family val="2"/>
      <scheme val="minor"/>
    </font>
    <font>
      <sz val="7"/>
      <color indexed="12"/>
      <name val="Calibri"/>
      <family val="2"/>
      <scheme val="minor"/>
    </font>
    <font>
      <sz val="7"/>
      <color indexed="10"/>
      <name val="Calibri"/>
      <family val="2"/>
      <scheme val="minor"/>
    </font>
    <font>
      <b/>
      <sz val="6"/>
      <color indexed="8"/>
      <name val="Calibri"/>
      <family val="2"/>
      <scheme val="minor"/>
    </font>
    <font>
      <b/>
      <sz val="6"/>
      <color indexed="8"/>
      <name val="Calibri"/>
      <family val="2"/>
    </font>
    <font>
      <b/>
      <sz val="14"/>
      <name val="Calibri"/>
      <family val="2"/>
      <scheme val="minor"/>
    </font>
    <font>
      <b/>
      <sz val="6"/>
      <color indexed="8"/>
      <name val="Calibri (Body)_x0000_"/>
    </font>
    <font>
      <b/>
      <sz val="14"/>
      <color theme="1"/>
      <name val="Calibri (Body)_x0000_"/>
    </font>
    <font>
      <b/>
      <sz val="14"/>
      <name val="Calibri (Body)_x0000_"/>
    </font>
    <font>
      <sz val="9"/>
      <color theme="1"/>
      <name val="Calibri Body"/>
    </font>
    <font>
      <sz val="9"/>
      <color indexed="81"/>
      <name val="Tahoma"/>
      <family val="2"/>
    </font>
    <font>
      <b/>
      <sz val="9"/>
      <color indexed="81"/>
      <name val="Tahoma"/>
      <family val="2"/>
    </font>
    <font>
      <b/>
      <sz val="12"/>
      <color rgb="FF011993"/>
      <name val="Calibri"/>
      <family val="2"/>
      <scheme val="minor"/>
    </font>
    <font>
      <b/>
      <u/>
      <sz val="12"/>
      <color indexed="8"/>
      <name val="Calibri"/>
      <family val="2"/>
    </font>
    <font>
      <b/>
      <u/>
      <sz val="12"/>
      <color theme="1"/>
      <name val="Calibri"/>
      <family val="2"/>
      <scheme val="minor"/>
    </font>
    <font>
      <b/>
      <sz val="12"/>
      <name val="Calibri"/>
      <family val="2"/>
      <scheme val="minor"/>
    </font>
  </fonts>
  <fills count="23">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12"/>
        <bgColor indexed="64"/>
      </patternFill>
    </fill>
    <fill>
      <patternFill patternType="solid">
        <fgColor indexed="42"/>
        <bgColor indexed="8"/>
      </patternFill>
    </fill>
    <fill>
      <patternFill patternType="solid">
        <fgColor indexed="13"/>
        <bgColor indexed="8"/>
      </patternFill>
    </fill>
    <fill>
      <patternFill patternType="solid">
        <fgColor indexed="9"/>
        <bgColor indexed="64"/>
      </patternFill>
    </fill>
    <fill>
      <patternFill patternType="solid">
        <fgColor indexed="12"/>
        <bgColor indexed="8"/>
      </patternFill>
    </fill>
    <fill>
      <patternFill patternType="solid">
        <fgColor indexed="46"/>
        <bgColor indexed="8"/>
      </patternFill>
    </fill>
    <fill>
      <patternFill patternType="solid">
        <fgColor indexed="11"/>
        <bgColor indexed="8"/>
      </patternFill>
    </fill>
    <fill>
      <patternFill patternType="solid">
        <fgColor indexed="11"/>
        <bgColor indexed="64"/>
      </patternFill>
    </fill>
    <fill>
      <patternFill patternType="solid">
        <fgColor indexed="46"/>
        <bgColor indexed="64"/>
      </patternFill>
    </fill>
    <fill>
      <patternFill patternType="solid">
        <fgColor indexed="49"/>
        <bgColor indexed="8"/>
      </patternFill>
    </fill>
    <fill>
      <patternFill patternType="solid">
        <fgColor rgb="FFFFC7CE"/>
      </patternFill>
    </fill>
    <fill>
      <patternFill patternType="solid">
        <fgColor rgb="FFCCFFCC"/>
        <bgColor indexed="64"/>
      </patternFill>
    </fill>
    <fill>
      <patternFill patternType="solid">
        <fgColor rgb="FFFFFF00"/>
        <bgColor indexed="64"/>
      </patternFill>
    </fill>
    <fill>
      <patternFill patternType="solid">
        <fgColor rgb="FF00FF00"/>
        <bgColor indexed="64"/>
      </patternFill>
    </fill>
    <fill>
      <patternFill patternType="solid">
        <fgColor rgb="FF00FA00"/>
        <bgColor indexed="64"/>
      </patternFill>
    </fill>
    <fill>
      <patternFill patternType="solid">
        <fgColor rgb="FF00B0F0"/>
        <bgColor indexed="64"/>
      </patternFill>
    </fill>
    <fill>
      <patternFill patternType="solid">
        <fgColor rgb="FF33CCCC"/>
        <bgColor indexed="64"/>
      </patternFill>
    </fill>
    <fill>
      <patternFill patternType="solid">
        <fgColor rgb="FF3366FF"/>
        <bgColor indexed="64"/>
      </patternFill>
    </fill>
    <fill>
      <patternFill patternType="solid">
        <fgColor rgb="FF0000FF"/>
        <bgColor indexed="64"/>
      </patternFill>
    </fill>
  </fills>
  <borders count="7">
    <border>
      <left/>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indexed="8"/>
      </left>
      <right/>
      <top/>
      <bottom/>
      <diagonal/>
    </border>
    <border>
      <left/>
      <right style="thin">
        <color indexed="8"/>
      </right>
      <top/>
      <bottom/>
      <diagonal/>
    </border>
    <border>
      <left/>
      <right/>
      <top/>
      <bottom style="thin">
        <color auto="1"/>
      </bottom>
      <diagonal/>
    </border>
  </borders>
  <cellStyleXfs count="19">
    <xf numFmtId="0" fontId="0" fillId="0" borderId="0"/>
    <xf numFmtId="0" fontId="198" fillId="14" borderId="0" applyNumberFormat="0" applyBorder="0" applyAlignment="0" applyProtection="0"/>
    <xf numFmtId="0" fontId="199"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cellStyleXfs>
  <cellXfs count="2046">
    <xf numFmtId="0" fontId="0" fillId="0" borderId="0" xfId="0"/>
    <xf numFmtId="1" fontId="0" fillId="0" borderId="0" xfId="0" applyNumberFormat="1"/>
    <xf numFmtId="0" fontId="0" fillId="0" borderId="0" xfId="0" applyAlignment="1">
      <alignment horizontal="center"/>
    </xf>
    <xf numFmtId="0" fontId="11" fillId="0" borderId="0" xfId="0" applyFont="1" applyAlignment="1">
      <alignment horizontal="right"/>
    </xf>
    <xf numFmtId="0" fontId="11" fillId="0" borderId="0" xfId="0" applyFont="1" applyAlignment="1">
      <alignment horizontal="center"/>
    </xf>
    <xf numFmtId="164" fontId="11" fillId="0" borderId="0" xfId="0" applyNumberFormat="1" applyFont="1" applyAlignment="1">
      <alignment horizontal="center"/>
    </xf>
    <xf numFmtId="0" fontId="11" fillId="0" borderId="0" xfId="0" applyFont="1" applyFill="1" applyAlignment="1">
      <alignment horizontal="center"/>
    </xf>
    <xf numFmtId="0" fontId="12" fillId="0" borderId="0" xfId="0" applyFont="1" applyAlignment="1">
      <alignment horizontal="right"/>
    </xf>
    <xf numFmtId="0" fontId="15" fillId="0" borderId="0" xfId="0" applyFont="1"/>
    <xf numFmtId="0" fontId="10" fillId="0" borderId="0" xfId="0" applyFont="1" applyAlignment="1">
      <alignment horizontal="right"/>
    </xf>
    <xf numFmtId="0" fontId="10" fillId="0" borderId="0" xfId="0" applyFont="1" applyAlignment="1">
      <alignment horizontal="center"/>
    </xf>
    <xf numFmtId="164" fontId="15" fillId="0" borderId="0" xfId="0" applyNumberFormat="1" applyFont="1" applyAlignment="1">
      <alignment horizontal="center"/>
    </xf>
    <xf numFmtId="0" fontId="11" fillId="0" borderId="0" xfId="0" applyFont="1" applyFill="1" applyAlignment="1">
      <alignment horizontal="right"/>
    </xf>
    <xf numFmtId="3" fontId="19" fillId="0" borderId="0" xfId="0" applyNumberFormat="1" applyFont="1" applyAlignment="1">
      <alignment horizontal="center"/>
    </xf>
    <xf numFmtId="0" fontId="0" fillId="0" borderId="0" xfId="0" applyFill="1"/>
    <xf numFmtId="0" fontId="5" fillId="0" borderId="0" xfId="0" applyFont="1"/>
    <xf numFmtId="164" fontId="32" fillId="0" borderId="0" xfId="0" applyNumberFormat="1" applyFont="1" applyAlignment="1">
      <alignment horizontal="center"/>
    </xf>
    <xf numFmtId="0" fontId="29" fillId="0" borderId="0" xfId="0" applyFont="1" applyFill="1" applyAlignment="1">
      <alignment horizontal="center" vertical="top" wrapText="1"/>
    </xf>
    <xf numFmtId="0" fontId="0" fillId="0" borderId="0" xfId="0" applyAlignment="1">
      <alignment vertical="top"/>
    </xf>
    <xf numFmtId="0" fontId="22" fillId="0" borderId="0" xfId="0" applyFont="1" applyAlignment="1">
      <alignment horizontal="right" vertical="top" wrapText="1"/>
    </xf>
    <xf numFmtId="0" fontId="0" fillId="0" borderId="0" xfId="0" applyAlignment="1">
      <alignment horizontal="left"/>
    </xf>
    <xf numFmtId="0" fontId="37" fillId="0" borderId="0" xfId="0" applyFont="1" applyFill="1" applyAlignment="1">
      <alignment horizontal="center" vertical="top" wrapText="1"/>
    </xf>
    <xf numFmtId="0" fontId="36" fillId="0" borderId="0" xfId="0" applyFont="1" applyFill="1" applyAlignment="1">
      <alignment vertical="top" wrapText="1"/>
    </xf>
    <xf numFmtId="0" fontId="5" fillId="0" borderId="0" xfId="0" applyFont="1" applyBorder="1"/>
    <xf numFmtId="0" fontId="0" fillId="0" borderId="1" xfId="0" applyBorder="1" applyAlignment="1">
      <alignment vertical="top"/>
    </xf>
    <xf numFmtId="0" fontId="0" fillId="0" borderId="0" xfId="0" applyBorder="1" applyAlignment="1">
      <alignment vertical="top"/>
    </xf>
    <xf numFmtId="0" fontId="0" fillId="0" borderId="1" xfId="0" applyBorder="1"/>
    <xf numFmtId="0" fontId="0" fillId="0" borderId="0" xfId="0" applyBorder="1"/>
    <xf numFmtId="164" fontId="28" fillId="0" borderId="0" xfId="0" applyNumberFormat="1" applyFont="1" applyFill="1" applyAlignment="1">
      <alignment horizontal="center"/>
    </xf>
    <xf numFmtId="164" fontId="32" fillId="0" borderId="0" xfId="0" applyNumberFormat="1" applyFont="1" applyFill="1" applyAlignment="1">
      <alignment horizontal="center"/>
    </xf>
    <xf numFmtId="3" fontId="18" fillId="0" borderId="0" xfId="0" applyNumberFormat="1" applyFont="1" applyAlignment="1">
      <alignment horizontal="center"/>
    </xf>
    <xf numFmtId="164" fontId="32" fillId="0" borderId="0" xfId="0" applyNumberFormat="1" applyFont="1" applyFill="1" applyBorder="1" applyAlignment="1">
      <alignment horizontal="center"/>
    </xf>
    <xf numFmtId="0" fontId="18" fillId="0" borderId="0" xfId="0" applyFont="1" applyAlignment="1">
      <alignment horizontal="center"/>
    </xf>
    <xf numFmtId="0" fontId="26" fillId="0" borderId="0" xfId="0" applyFont="1" applyAlignment="1">
      <alignment horizontal="center" vertical="top" wrapText="1"/>
    </xf>
    <xf numFmtId="0" fontId="12" fillId="0" borderId="0" xfId="0" applyFont="1" applyAlignment="1">
      <alignment horizontal="center"/>
    </xf>
    <xf numFmtId="0" fontId="15" fillId="0" borderId="0" xfId="0" applyFont="1" applyAlignment="1">
      <alignment horizontal="right"/>
    </xf>
    <xf numFmtId="164" fontId="49" fillId="0" borderId="0" xfId="0" applyNumberFormat="1" applyFont="1" applyFill="1" applyAlignment="1">
      <alignment horizontal="center"/>
    </xf>
    <xf numFmtId="0" fontId="29" fillId="0" borderId="0" xfId="0" applyFont="1" applyAlignment="1">
      <alignment vertical="top" wrapText="1"/>
    </xf>
    <xf numFmtId="0" fontId="18" fillId="0" borderId="0" xfId="0" applyFont="1" applyFill="1" applyAlignment="1">
      <alignment horizontal="center"/>
    </xf>
    <xf numFmtId="164" fontId="11" fillId="0" borderId="0" xfId="0" applyNumberFormat="1" applyFont="1" applyFill="1" applyAlignment="1">
      <alignment horizontal="center"/>
    </xf>
    <xf numFmtId="0" fontId="26" fillId="0" borderId="0" xfId="0" applyFont="1" applyFill="1" applyAlignment="1">
      <alignment horizontal="center" vertical="top" wrapText="1"/>
    </xf>
    <xf numFmtId="0" fontId="32" fillId="0" borderId="0" xfId="0" applyFont="1" applyAlignment="1">
      <alignment vertical="top" wrapText="1"/>
    </xf>
    <xf numFmtId="164" fontId="22" fillId="0" borderId="0" xfId="0" applyNumberFormat="1" applyFont="1" applyAlignment="1">
      <alignment horizontal="center" vertical="top" wrapText="1"/>
    </xf>
    <xf numFmtId="164" fontId="51" fillId="0" borderId="0" xfId="0" applyNumberFormat="1" applyFont="1" applyAlignment="1">
      <alignment horizontal="center"/>
    </xf>
    <xf numFmtId="0" fontId="23" fillId="0" borderId="0" xfId="0" applyFont="1" applyFill="1" applyAlignment="1">
      <alignment horizontal="center" vertical="top" wrapText="1"/>
    </xf>
    <xf numFmtId="0" fontId="0" fillId="0" borderId="0" xfId="0" applyAlignment="1">
      <alignment horizontal="left" vertical="top" wrapText="1"/>
    </xf>
    <xf numFmtId="0" fontId="8" fillId="0" borderId="0" xfId="0" applyFont="1" applyFill="1"/>
    <xf numFmtId="164" fontId="32" fillId="0" borderId="0" xfId="0" applyNumberFormat="1" applyFont="1" applyBorder="1" applyAlignment="1">
      <alignment horizontal="center"/>
    </xf>
    <xf numFmtId="0" fontId="29" fillId="0" borderId="0" xfId="0" applyFont="1" applyAlignment="1">
      <alignment horizontal="center" vertical="top" wrapText="1"/>
    </xf>
    <xf numFmtId="0" fontId="12" fillId="0" borderId="0" xfId="0" applyFont="1" applyFill="1" applyAlignment="1">
      <alignment horizontal="right"/>
    </xf>
    <xf numFmtId="0" fontId="11" fillId="0" borderId="0" xfId="0" applyFont="1" applyBorder="1" applyAlignment="1">
      <alignment horizontal="center"/>
    </xf>
    <xf numFmtId="0" fontId="24" fillId="0" borderId="0" xfId="0" applyFont="1" applyFill="1" applyBorder="1" applyAlignment="1">
      <alignment horizontal="center" vertical="top" wrapText="1"/>
    </xf>
    <xf numFmtId="0" fontId="38" fillId="0" borderId="0" xfId="0" applyFont="1" applyFill="1" applyBorder="1" applyAlignment="1">
      <alignment vertical="top" wrapText="1"/>
    </xf>
    <xf numFmtId="0" fontId="48" fillId="0" borderId="0" xfId="0" applyFont="1" applyBorder="1" applyAlignment="1">
      <alignment horizontal="center"/>
    </xf>
    <xf numFmtId="0" fontId="38" fillId="0" borderId="0" xfId="0" applyFont="1" applyFill="1" applyBorder="1" applyAlignment="1">
      <alignment horizontal="center" vertical="top" wrapText="1"/>
    </xf>
    <xf numFmtId="0" fontId="0" fillId="0" borderId="0" xfId="0" applyBorder="1" applyAlignment="1">
      <alignment horizontal="center" vertical="top" wrapText="1"/>
    </xf>
    <xf numFmtId="0" fontId="27" fillId="0" borderId="0" xfId="0" applyFont="1" applyAlignment="1">
      <alignment horizontal="right" vertical="top" wrapText="1"/>
    </xf>
    <xf numFmtId="0" fontId="19" fillId="0" borderId="0" xfId="0" applyFont="1" applyBorder="1" applyAlignment="1">
      <alignment horizontal="center"/>
    </xf>
    <xf numFmtId="0" fontId="18" fillId="0" borderId="0" xfId="0" applyFont="1" applyBorder="1" applyAlignment="1">
      <alignment horizontal="center"/>
    </xf>
    <xf numFmtId="0" fontId="33"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44" fillId="0" borderId="0" xfId="0" applyFont="1" applyBorder="1" applyAlignment="1">
      <alignment vertical="top" wrapText="1"/>
    </xf>
    <xf numFmtId="0" fontId="0" fillId="0" borderId="0" xfId="0" applyBorder="1" applyAlignment="1">
      <alignment vertical="top" wrapText="1"/>
    </xf>
    <xf numFmtId="164" fontId="28" fillId="0" borderId="0" xfId="0" applyNumberFormat="1" applyFont="1" applyBorder="1" applyAlignment="1">
      <alignment horizontal="center"/>
    </xf>
    <xf numFmtId="0" fontId="36" fillId="0" borderId="0" xfId="0" applyFont="1" applyBorder="1" applyAlignment="1">
      <alignment vertical="top" wrapText="1"/>
    </xf>
    <xf numFmtId="0" fontId="38" fillId="0" borderId="0" xfId="0" applyFont="1" applyBorder="1" applyAlignment="1">
      <alignment vertical="top" wrapText="1"/>
    </xf>
    <xf numFmtId="3" fontId="19" fillId="0" borderId="0" xfId="0" applyNumberFormat="1" applyFont="1" applyFill="1" applyAlignment="1">
      <alignment horizontal="center"/>
    </xf>
    <xf numFmtId="0" fontId="10" fillId="0" borderId="0" xfId="0" applyFont="1" applyFill="1" applyAlignment="1">
      <alignment horizontal="right"/>
    </xf>
    <xf numFmtId="0" fontId="0" fillId="0" borderId="0" xfId="0" applyFill="1" applyBorder="1"/>
    <xf numFmtId="0" fontId="39" fillId="0" borderId="0" xfId="0" applyFont="1" applyBorder="1" applyAlignment="1">
      <alignment horizontal="center" vertical="top" wrapText="1"/>
    </xf>
    <xf numFmtId="164" fontId="34" fillId="0" borderId="0" xfId="0" applyNumberFormat="1" applyFont="1" applyBorder="1" applyAlignment="1">
      <alignment horizontal="left" vertical="top" wrapText="1"/>
    </xf>
    <xf numFmtId="0" fontId="35" fillId="0" borderId="0" xfId="0" applyFont="1" applyBorder="1" applyAlignment="1">
      <alignment horizontal="center" vertical="top" wrapText="1"/>
    </xf>
    <xf numFmtId="0" fontId="35" fillId="0" borderId="0" xfId="0" applyFont="1" applyFill="1" applyBorder="1" applyAlignment="1">
      <alignment horizontal="center" vertical="top" wrapText="1"/>
    </xf>
    <xf numFmtId="0" fontId="41" fillId="0" borderId="0" xfId="0" applyFont="1" applyFill="1" applyBorder="1" applyAlignment="1">
      <alignment vertical="top" wrapText="1"/>
    </xf>
    <xf numFmtId="164" fontId="15" fillId="0" borderId="0" xfId="0" applyNumberFormat="1" applyFont="1" applyBorder="1" applyAlignment="1">
      <alignment horizontal="center"/>
    </xf>
    <xf numFmtId="0" fontId="37" fillId="0" borderId="0" xfId="0" applyFont="1" applyBorder="1"/>
    <xf numFmtId="164" fontId="51" fillId="0" borderId="0" xfId="0" applyNumberFormat="1" applyFont="1" applyBorder="1" applyAlignment="1">
      <alignment horizontal="center"/>
    </xf>
    <xf numFmtId="0" fontId="39" fillId="0" borderId="0" xfId="0" applyFont="1" applyBorder="1" applyAlignment="1">
      <alignment vertical="top" wrapText="1"/>
    </xf>
    <xf numFmtId="1" fontId="37" fillId="0" borderId="0" xfId="0" applyNumberFormat="1" applyFont="1" applyBorder="1"/>
    <xf numFmtId="164" fontId="29" fillId="0" borderId="0" xfId="0" applyNumberFormat="1" applyFont="1" applyBorder="1" applyAlignment="1">
      <alignment horizontal="right" vertical="top" wrapText="1"/>
    </xf>
    <xf numFmtId="0" fontId="10" fillId="0" borderId="0" xfId="0" applyFont="1" applyFill="1" applyBorder="1" applyAlignment="1">
      <alignment horizontal="right"/>
    </xf>
    <xf numFmtId="0" fontId="12" fillId="0" borderId="0" xfId="0" applyFont="1" applyFill="1" applyBorder="1" applyAlignment="1">
      <alignment horizontal="right"/>
    </xf>
    <xf numFmtId="164" fontId="28" fillId="0" borderId="0" xfId="0" applyNumberFormat="1" applyFont="1" applyFill="1" applyBorder="1" applyAlignment="1">
      <alignment horizontal="center"/>
    </xf>
    <xf numFmtId="0" fontId="11" fillId="0" borderId="0" xfId="0" applyFont="1" applyFill="1" applyBorder="1" applyAlignment="1">
      <alignment horizontal="right"/>
    </xf>
    <xf numFmtId="0" fontId="38" fillId="0" borderId="0" xfId="0" applyFont="1" applyBorder="1" applyAlignment="1">
      <alignment horizontal="center" vertical="top" wrapText="1"/>
    </xf>
    <xf numFmtId="0" fontId="10" fillId="0" borderId="0" xfId="0" applyFont="1" applyBorder="1" applyAlignment="1">
      <alignment horizontal="right"/>
    </xf>
    <xf numFmtId="0" fontId="5" fillId="0" borderId="0" xfId="0" applyFont="1" applyBorder="1" applyAlignment="1">
      <alignment vertical="top" wrapText="1"/>
    </xf>
    <xf numFmtId="0" fontId="53" fillId="0" borderId="0" xfId="0" applyFont="1" applyBorder="1" applyAlignment="1">
      <alignment wrapText="1"/>
    </xf>
    <xf numFmtId="0" fontId="53" fillId="0" borderId="0" xfId="0" applyFont="1" applyBorder="1"/>
    <xf numFmtId="0" fontId="11" fillId="0" borderId="0" xfId="0" applyFont="1" applyBorder="1" applyAlignment="1">
      <alignment horizontal="right"/>
    </xf>
    <xf numFmtId="0" fontId="17" fillId="0" borderId="0" xfId="0" applyFont="1" applyFill="1"/>
    <xf numFmtId="0" fontId="40" fillId="0" borderId="0" xfId="0" applyFont="1" applyBorder="1" applyAlignment="1">
      <alignment vertical="top"/>
    </xf>
    <xf numFmtId="0" fontId="42" fillId="0" borderId="0" xfId="0" applyFont="1" applyBorder="1" applyAlignment="1">
      <alignment vertical="top"/>
    </xf>
    <xf numFmtId="0" fontId="13" fillId="0" borderId="0" xfId="0" applyFont="1"/>
    <xf numFmtId="164" fontId="56" fillId="0" borderId="0" xfId="0" applyNumberFormat="1" applyFont="1" applyFill="1" applyBorder="1" applyAlignment="1">
      <alignment horizontal="center"/>
    </xf>
    <xf numFmtId="3" fontId="0" fillId="0" borderId="0" xfId="0" applyNumberFormat="1" applyFill="1"/>
    <xf numFmtId="164" fontId="9" fillId="0" borderId="0" xfId="0" applyNumberFormat="1" applyFont="1" applyFill="1"/>
    <xf numFmtId="164" fontId="7" fillId="0" borderId="0" xfId="0" applyNumberFormat="1" applyFont="1" applyFill="1" applyAlignment="1">
      <alignment horizontal="center"/>
    </xf>
    <xf numFmtId="164" fontId="29" fillId="0" borderId="0" xfId="0" applyNumberFormat="1" applyFont="1" applyFill="1" applyAlignment="1">
      <alignment vertical="top" wrapText="1"/>
    </xf>
    <xf numFmtId="0" fontId="58" fillId="0" borderId="0" xfId="0" applyFont="1" applyFill="1" applyBorder="1"/>
    <xf numFmtId="164" fontId="47" fillId="0" borderId="0" xfId="0" applyNumberFormat="1" applyFont="1" applyFill="1" applyBorder="1" applyAlignment="1">
      <alignment horizontal="center"/>
    </xf>
    <xf numFmtId="0" fontId="55" fillId="0" borderId="0" xfId="0" applyFont="1" applyFill="1" applyBorder="1" applyAlignment="1">
      <alignment wrapText="1"/>
    </xf>
    <xf numFmtId="0" fontId="55" fillId="0" borderId="0" xfId="0" applyFont="1" applyFill="1"/>
    <xf numFmtId="0" fontId="57" fillId="0" borderId="0" xfId="0" applyFont="1" applyFill="1" applyBorder="1" applyAlignment="1">
      <alignment vertical="top" wrapText="1"/>
    </xf>
    <xf numFmtId="4" fontId="20" fillId="0" borderId="0" xfId="0" applyNumberFormat="1" applyFont="1"/>
    <xf numFmtId="4" fontId="21" fillId="0" borderId="0" xfId="0" applyNumberFormat="1" applyFont="1" applyAlignment="1">
      <alignment horizontal="center"/>
    </xf>
    <xf numFmtId="4" fontId="52" fillId="0" borderId="0" xfId="0" applyNumberFormat="1" applyFont="1" applyAlignment="1">
      <alignment horizontal="center" vertical="top" wrapText="1"/>
    </xf>
    <xf numFmtId="4" fontId="49" fillId="0" borderId="0" xfId="0" applyNumberFormat="1" applyFont="1" applyFill="1" applyAlignment="1">
      <alignment horizontal="center"/>
    </xf>
    <xf numFmtId="4" fontId="60" fillId="0" borderId="0" xfId="0" applyNumberFormat="1" applyFont="1"/>
    <xf numFmtId="0" fontId="11" fillId="0" borderId="1" xfId="0" applyFont="1" applyBorder="1" applyAlignment="1">
      <alignment horizontal="center"/>
    </xf>
    <xf numFmtId="0" fontId="11" fillId="0" borderId="2" xfId="0" applyFont="1" applyBorder="1" applyAlignment="1">
      <alignment horizontal="center"/>
    </xf>
    <xf numFmtId="1" fontId="48" fillId="0" borderId="1" xfId="0" applyNumberFormat="1" applyFont="1" applyFill="1" applyBorder="1" applyAlignment="1">
      <alignment horizontal="center"/>
    </xf>
    <xf numFmtId="0" fontId="40" fillId="0" borderId="1" xfId="0" applyFont="1" applyBorder="1" applyAlignment="1">
      <alignment vertical="top" wrapText="1"/>
    </xf>
    <xf numFmtId="164" fontId="19" fillId="0" borderId="1" xfId="0" applyNumberFormat="1" applyFont="1" applyBorder="1" applyAlignment="1">
      <alignment horizontal="center"/>
    </xf>
    <xf numFmtId="164" fontId="32" fillId="0" borderId="2" xfId="0" applyNumberFormat="1" applyFont="1" applyBorder="1" applyAlignment="1">
      <alignment horizontal="center"/>
    </xf>
    <xf numFmtId="0" fontId="0" fillId="0" borderId="2" xfId="0" applyBorder="1"/>
    <xf numFmtId="0" fontId="41" fillId="0" borderId="2" xfId="0" applyFont="1" applyFill="1" applyBorder="1" applyAlignment="1">
      <alignment vertical="top" wrapText="1"/>
    </xf>
    <xf numFmtId="164" fontId="32" fillId="0" borderId="1" xfId="0" applyNumberFormat="1" applyFont="1" applyBorder="1" applyAlignment="1">
      <alignment horizontal="center"/>
    </xf>
    <xf numFmtId="164" fontId="29" fillId="0" borderId="1" xfId="0" applyNumberFormat="1" applyFont="1" applyBorder="1" applyAlignment="1">
      <alignment horizontal="left" vertical="top" wrapText="1"/>
    </xf>
    <xf numFmtId="0" fontId="14" fillId="0" borderId="2" xfId="0" applyFont="1" applyFill="1" applyBorder="1" applyAlignment="1">
      <alignment horizontal="center"/>
    </xf>
    <xf numFmtId="164" fontId="29" fillId="0" borderId="1" xfId="0" applyNumberFormat="1" applyFont="1" applyBorder="1" applyAlignment="1">
      <alignment horizontal="right" vertical="top" wrapText="1"/>
    </xf>
    <xf numFmtId="0" fontId="58" fillId="0" borderId="0" xfId="0" applyFont="1"/>
    <xf numFmtId="0" fontId="66" fillId="0" borderId="0" xfId="0" applyFont="1"/>
    <xf numFmtId="0" fontId="68" fillId="0" borderId="0" xfId="0" applyFont="1" applyAlignment="1">
      <alignment horizontal="center"/>
    </xf>
    <xf numFmtId="0" fontId="67" fillId="0" borderId="0" xfId="0" applyFont="1" applyAlignment="1">
      <alignment horizontal="center"/>
    </xf>
    <xf numFmtId="0" fontId="69" fillId="0" borderId="0" xfId="0" applyFont="1" applyAlignment="1">
      <alignment horizontal="center"/>
    </xf>
    <xf numFmtId="3" fontId="0" fillId="0" borderId="0" xfId="0" applyNumberFormat="1"/>
    <xf numFmtId="0" fontId="68" fillId="0" borderId="0" xfId="0" applyFont="1"/>
    <xf numFmtId="0" fontId="68" fillId="0" borderId="0" xfId="0" applyFont="1" applyBorder="1"/>
    <xf numFmtId="0" fontId="70" fillId="0" borderId="0" xfId="0" applyFont="1" applyBorder="1" applyAlignment="1">
      <alignment horizontal="center" vertical="top" wrapText="1"/>
    </xf>
    <xf numFmtId="0" fontId="70" fillId="0" borderId="0" xfId="0" applyFont="1" applyBorder="1" applyAlignment="1">
      <alignment vertical="top" wrapText="1"/>
    </xf>
    <xf numFmtId="164" fontId="67" fillId="0" borderId="0" xfId="0" applyNumberFormat="1" applyFont="1" applyFill="1" applyBorder="1" applyAlignment="1">
      <alignment horizontal="center"/>
    </xf>
    <xf numFmtId="164" fontId="66" fillId="0" borderId="0" xfId="0" applyNumberFormat="1" applyFont="1" applyBorder="1" applyAlignment="1">
      <alignment horizontal="center"/>
    </xf>
    <xf numFmtId="164" fontId="66" fillId="0" borderId="0" xfId="0" applyNumberFormat="1" applyFont="1" applyAlignment="1">
      <alignment horizontal="center"/>
    </xf>
    <xf numFmtId="0" fontId="69" fillId="0" borderId="0" xfId="0" applyFont="1"/>
    <xf numFmtId="3" fontId="11" fillId="0" borderId="0" xfId="0" applyNumberFormat="1" applyFont="1" applyAlignment="1">
      <alignment horizontal="center"/>
    </xf>
    <xf numFmtId="0" fontId="63" fillId="0" borderId="0" xfId="0" applyFont="1" applyFill="1" applyBorder="1" applyAlignment="1">
      <alignment vertical="top" wrapText="1"/>
    </xf>
    <xf numFmtId="0" fontId="11" fillId="0" borderId="0" xfId="0" applyFont="1" applyFill="1" applyBorder="1" applyAlignment="1">
      <alignment horizontal="center"/>
    </xf>
    <xf numFmtId="0" fontId="74" fillId="0" borderId="0" xfId="0" applyFont="1" applyFill="1" applyAlignment="1">
      <alignment horizontal="center" vertical="top" wrapText="1"/>
    </xf>
    <xf numFmtId="0" fontId="74" fillId="0" borderId="0" xfId="0" applyFont="1" applyAlignment="1">
      <alignment horizontal="center" vertical="top" wrapText="1"/>
    </xf>
    <xf numFmtId="0" fontId="36" fillId="0" borderId="0" xfId="0" applyFont="1" applyFill="1" applyBorder="1" applyAlignment="1">
      <alignment vertical="top" wrapText="1"/>
    </xf>
    <xf numFmtId="166" fontId="48" fillId="0" borderId="0" xfId="0" applyNumberFormat="1" applyFont="1" applyBorder="1" applyAlignment="1">
      <alignment horizontal="center"/>
    </xf>
    <xf numFmtId="164" fontId="77" fillId="0" borderId="0" xfId="0" applyNumberFormat="1" applyFont="1" applyBorder="1" applyAlignment="1">
      <alignment horizontal="center"/>
    </xf>
    <xf numFmtId="0" fontId="12" fillId="0" borderId="0" xfId="0" applyFont="1" applyFill="1" applyAlignment="1">
      <alignment horizontal="center"/>
    </xf>
    <xf numFmtId="0" fontId="38" fillId="0" borderId="1" xfId="0" applyFont="1" applyFill="1" applyBorder="1" applyAlignment="1">
      <alignment horizontal="left" vertical="top" wrapText="1"/>
    </xf>
    <xf numFmtId="0" fontId="0" fillId="0" borderId="0" xfId="0" applyFill="1" applyBorder="1" applyAlignment="1">
      <alignment horizontal="left" vertical="top" wrapText="1"/>
    </xf>
    <xf numFmtId="0" fontId="38" fillId="0" borderId="1" xfId="0" applyFont="1" applyFill="1" applyBorder="1" applyAlignment="1">
      <alignment horizontal="center" vertical="top" wrapText="1"/>
    </xf>
    <xf numFmtId="0" fontId="0" fillId="0" borderId="0" xfId="0" applyFill="1" applyBorder="1" applyAlignment="1">
      <alignment horizontal="center" vertical="top" wrapText="1"/>
    </xf>
    <xf numFmtId="0" fontId="62" fillId="0" borderId="0" xfId="0" applyFont="1" applyFill="1" applyBorder="1" applyAlignment="1">
      <alignment horizontal="center" vertical="top" wrapText="1"/>
    </xf>
    <xf numFmtId="0" fontId="81" fillId="0" borderId="0" xfId="0" applyFont="1" applyFill="1" applyAlignment="1">
      <alignment vertical="center"/>
    </xf>
    <xf numFmtId="0" fontId="11" fillId="0" borderId="3" xfId="0" applyFont="1" applyBorder="1" applyAlignment="1">
      <alignment horizontal="center"/>
    </xf>
    <xf numFmtId="0" fontId="89" fillId="0" borderId="0" xfId="0" applyFont="1" applyBorder="1" applyAlignment="1">
      <alignment horizontal="center" vertical="top" wrapText="1"/>
    </xf>
    <xf numFmtId="3" fontId="90" fillId="0" borderId="0" xfId="0" applyNumberFormat="1" applyFont="1" applyFill="1" applyAlignment="1">
      <alignment horizontal="center"/>
    </xf>
    <xf numFmtId="0" fontId="91" fillId="0" borderId="0" xfId="0" applyFont="1" applyAlignment="1">
      <alignment wrapText="1"/>
    </xf>
    <xf numFmtId="0" fontId="94" fillId="0" borderId="0" xfId="0" applyFont="1" applyFill="1"/>
    <xf numFmtId="0" fontId="91" fillId="0" borderId="0" xfId="0" applyFont="1" applyFill="1"/>
    <xf numFmtId="0" fontId="91" fillId="0" borderId="0" xfId="0" applyFont="1" applyFill="1" applyAlignment="1">
      <alignment horizontal="right"/>
    </xf>
    <xf numFmtId="3" fontId="91" fillId="0" borderId="0" xfId="0" applyNumberFormat="1" applyFont="1" applyFill="1"/>
    <xf numFmtId="0" fontId="91" fillId="0" borderId="0" xfId="0" applyFont="1" applyAlignment="1">
      <alignment horizontal="right" wrapText="1"/>
    </xf>
    <xf numFmtId="0" fontId="39" fillId="0" borderId="0" xfId="0" applyFont="1" applyBorder="1" applyAlignment="1">
      <alignment horizontal="left" vertical="top" wrapText="1"/>
    </xf>
    <xf numFmtId="0" fontId="0" fillId="0" borderId="0" xfId="0" applyFill="1" applyBorder="1" applyAlignment="1">
      <alignment vertical="top" wrapText="1"/>
    </xf>
    <xf numFmtId="164" fontId="29" fillId="0" borderId="0" xfId="0" applyNumberFormat="1" applyFont="1" applyBorder="1" applyAlignment="1">
      <alignment horizontal="left" vertical="top" wrapText="1"/>
    </xf>
    <xf numFmtId="0" fontId="0" fillId="0" borderId="3" xfId="0" applyBorder="1"/>
    <xf numFmtId="0" fontId="10" fillId="0" borderId="2" xfId="0" applyFont="1" applyBorder="1" applyAlignment="1">
      <alignment horizontal="center"/>
    </xf>
    <xf numFmtId="0" fontId="10" fillId="0" borderId="0" xfId="0" applyFont="1" applyBorder="1" applyAlignment="1">
      <alignment horizontal="center"/>
    </xf>
    <xf numFmtId="0" fontId="0" fillId="0" borderId="0" xfId="0" applyBorder="1" applyAlignment="1">
      <alignment horizontal="left" vertical="top" wrapText="1"/>
    </xf>
    <xf numFmtId="0" fontId="19" fillId="0" borderId="0" xfId="0" applyFont="1" applyFill="1" applyBorder="1" applyAlignment="1">
      <alignment horizontal="center"/>
    </xf>
    <xf numFmtId="0" fontId="44" fillId="0" borderId="0" xfId="0" applyFont="1" applyFill="1" applyBorder="1" applyAlignment="1">
      <alignment vertical="top" wrapText="1"/>
    </xf>
    <xf numFmtId="164" fontId="15" fillId="0" borderId="0" xfId="0" applyNumberFormat="1" applyFont="1" applyFill="1" applyBorder="1" applyAlignment="1">
      <alignment horizontal="center"/>
    </xf>
    <xf numFmtId="0" fontId="63" fillId="0" borderId="0" xfId="0" applyFont="1" applyFill="1" applyBorder="1" applyAlignment="1">
      <alignment horizontal="center" vertical="top" wrapText="1"/>
    </xf>
    <xf numFmtId="0" fontId="0" fillId="0" borderId="0" xfId="0" applyFill="1" applyAlignment="1">
      <alignment horizontal="left" vertical="top" wrapText="1"/>
    </xf>
    <xf numFmtId="0" fontId="39" fillId="0" borderId="0" xfId="0" applyFont="1" applyFill="1" applyBorder="1" applyAlignment="1">
      <alignment vertical="top" wrapText="1"/>
    </xf>
    <xf numFmtId="0" fontId="39" fillId="0" borderId="0" xfId="0" applyFont="1" applyFill="1" applyBorder="1" applyAlignment="1">
      <alignment horizontal="center" vertical="top" wrapText="1"/>
    </xf>
    <xf numFmtId="164" fontId="3" fillId="0" borderId="0" xfId="0" applyNumberFormat="1" applyFont="1" applyFill="1" applyBorder="1" applyAlignment="1">
      <alignment horizontal="right" vertical="top" wrapText="1"/>
    </xf>
    <xf numFmtId="164" fontId="34" fillId="0" borderId="0" xfId="0" applyNumberFormat="1" applyFont="1" applyFill="1" applyBorder="1" applyAlignment="1">
      <alignment horizontal="left" vertical="top" wrapText="1"/>
    </xf>
    <xf numFmtId="0" fontId="71" fillId="0" borderId="0" xfId="0" applyFont="1" applyFill="1" applyBorder="1" applyAlignment="1">
      <alignment vertical="top" wrapText="1"/>
    </xf>
    <xf numFmtId="0" fontId="22" fillId="0" borderId="0" xfId="0" applyFont="1" applyFill="1" applyAlignment="1">
      <alignment horizontal="left" vertical="top" wrapText="1"/>
    </xf>
    <xf numFmtId="164" fontId="46" fillId="0" borderId="0" xfId="0" applyNumberFormat="1" applyFont="1" applyFill="1" applyBorder="1" applyAlignment="1">
      <alignment horizontal="center"/>
    </xf>
    <xf numFmtId="0" fontId="0" fillId="0" borderId="0" xfId="0" applyBorder="1" applyAlignment="1">
      <alignment horizontal="center" vertical="center"/>
    </xf>
    <xf numFmtId="0" fontId="12" fillId="0" borderId="0" xfId="0" applyFont="1" applyAlignment="1">
      <alignment horizontal="center" vertical="center"/>
    </xf>
    <xf numFmtId="0" fontId="0" fillId="0" borderId="0" xfId="0" applyAlignment="1">
      <alignment vertical="center"/>
    </xf>
    <xf numFmtId="164" fontId="9" fillId="0" borderId="0" xfId="0" applyNumberFormat="1" applyFont="1" applyFill="1" applyAlignment="1">
      <alignment vertical="center"/>
    </xf>
    <xf numFmtId="0" fontId="18" fillId="0" borderId="0" xfId="0" applyFont="1" applyAlignment="1">
      <alignment horizontal="center" vertical="center"/>
    </xf>
    <xf numFmtId="164" fontId="32" fillId="0" borderId="0" xfId="0" applyNumberFormat="1" applyFont="1" applyAlignment="1">
      <alignment horizontal="center" vertical="center"/>
    </xf>
    <xf numFmtId="0" fontId="97" fillId="0" borderId="0" xfId="0" applyFont="1"/>
    <xf numFmtId="1" fontId="81" fillId="0" borderId="0" xfId="0" applyNumberFormat="1" applyFont="1" applyBorder="1" applyAlignment="1">
      <alignment horizontal="center"/>
    </xf>
    <xf numFmtId="0" fontId="29" fillId="2" borderId="1" xfId="0" applyFont="1" applyFill="1" applyBorder="1" applyAlignment="1">
      <alignment horizontal="center" vertical="top" wrapText="1"/>
    </xf>
    <xf numFmtId="0" fontId="23" fillId="2" borderId="2" xfId="0" applyFont="1" applyFill="1" applyBorder="1" applyAlignment="1">
      <alignment horizontal="center" vertical="top" wrapText="1"/>
    </xf>
    <xf numFmtId="0" fontId="36" fillId="0" borderId="2" xfId="0" applyFont="1" applyBorder="1" applyAlignment="1">
      <alignment vertical="top" wrapText="1"/>
    </xf>
    <xf numFmtId="0" fontId="81" fillId="0" borderId="0" xfId="0" applyFont="1" applyBorder="1" applyAlignment="1">
      <alignment horizontal="center"/>
    </xf>
    <xf numFmtId="164" fontId="81" fillId="0" borderId="0" xfId="0" applyNumberFormat="1" applyFont="1" applyBorder="1" applyAlignment="1">
      <alignment horizontal="center"/>
    </xf>
    <xf numFmtId="0" fontId="104" fillId="0" borderId="0" xfId="0" applyFont="1" applyFill="1" applyBorder="1" applyAlignment="1">
      <alignment horizontal="center" vertical="top" wrapText="1"/>
    </xf>
    <xf numFmtId="0" fontId="105" fillId="0" borderId="0" xfId="0" applyFont="1" applyBorder="1" applyAlignment="1">
      <alignment horizontal="left" vertical="top" wrapText="1"/>
    </xf>
    <xf numFmtId="3" fontId="81" fillId="0" borderId="0" xfId="0" applyNumberFormat="1" applyFont="1" applyBorder="1" applyAlignment="1">
      <alignment horizontal="center"/>
    </xf>
    <xf numFmtId="0" fontId="39" fillId="0" borderId="0" xfId="0" applyFont="1" applyBorder="1" applyAlignment="1">
      <alignment horizontal="right" vertical="top" wrapText="1"/>
    </xf>
    <xf numFmtId="0" fontId="100" fillId="0" borderId="0" xfId="0" applyFont="1" applyFill="1" applyBorder="1" applyAlignment="1">
      <alignment horizontal="center" vertical="top" wrapText="1"/>
    </xf>
    <xf numFmtId="0" fontId="82" fillId="0" borderId="0" xfId="0" applyFont="1" applyBorder="1" applyAlignment="1">
      <alignment horizontal="right" vertical="top" wrapText="1"/>
    </xf>
    <xf numFmtId="0" fontId="82" fillId="0" borderId="1" xfId="0" applyFont="1" applyBorder="1" applyAlignment="1">
      <alignment vertical="top" wrapText="1"/>
    </xf>
    <xf numFmtId="164" fontId="39" fillId="0" borderId="0" xfId="0" applyNumberFormat="1" applyFont="1" applyBorder="1" applyAlignment="1">
      <alignment horizontal="right" vertical="top" wrapText="1"/>
    </xf>
    <xf numFmtId="0" fontId="0" fillId="0" borderId="0" xfId="0" applyFill="1" applyAlignment="1">
      <alignment horizontal="center"/>
    </xf>
    <xf numFmtId="0" fontId="75" fillId="0" borderId="0" xfId="0" applyFont="1" applyAlignment="1">
      <alignment horizontal="center"/>
    </xf>
    <xf numFmtId="0" fontId="81" fillId="0" borderId="0" xfId="0" applyFont="1" applyFill="1" applyAlignment="1">
      <alignment horizontal="center"/>
    </xf>
    <xf numFmtId="3" fontId="81" fillId="0" borderId="0" xfId="0" applyNumberFormat="1" applyFont="1" applyFill="1" applyAlignment="1">
      <alignment horizontal="center"/>
    </xf>
    <xf numFmtId="164" fontId="39" fillId="0" borderId="0" xfId="0" applyNumberFormat="1" applyFont="1" applyFill="1" applyBorder="1" applyAlignment="1">
      <alignment horizontal="right" vertical="top" wrapText="1"/>
    </xf>
    <xf numFmtId="0" fontId="82" fillId="0" borderId="0" xfId="0" applyFont="1" applyFill="1" applyBorder="1" applyAlignment="1">
      <alignment horizontal="right" vertical="top" wrapText="1"/>
    </xf>
    <xf numFmtId="0" fontId="82" fillId="0" borderId="0" xfId="0" applyFont="1" applyBorder="1" applyAlignment="1">
      <alignment horizontal="center" vertical="top" wrapText="1"/>
    </xf>
    <xf numFmtId="0" fontId="100" fillId="0" borderId="0" xfId="0" applyFont="1" applyFill="1" applyBorder="1" applyAlignment="1">
      <alignment horizontal="right" vertical="top" wrapText="1"/>
    </xf>
    <xf numFmtId="0" fontId="10" fillId="0" borderId="1" xfId="0" applyFont="1" applyBorder="1" applyAlignment="1">
      <alignment horizontal="center"/>
    </xf>
    <xf numFmtId="0" fontId="82" fillId="0" borderId="0" xfId="0" applyFont="1" applyFill="1" applyBorder="1" applyAlignment="1">
      <alignment vertical="top" wrapText="1"/>
    </xf>
    <xf numFmtId="0" fontId="94" fillId="4" borderId="0" xfId="0" applyFont="1" applyFill="1" applyBorder="1"/>
    <xf numFmtId="0" fontId="94" fillId="4" borderId="0" xfId="0" applyFont="1" applyFill="1" applyBorder="1" applyAlignment="1">
      <alignment vertical="center"/>
    </xf>
    <xf numFmtId="0" fontId="91" fillId="4" borderId="0" xfId="0" applyFont="1" applyFill="1" applyBorder="1" applyAlignment="1">
      <alignment horizontal="center"/>
    </xf>
    <xf numFmtId="1" fontId="81" fillId="0" borderId="0" xfId="0" applyNumberFormat="1" applyFont="1" applyFill="1" applyBorder="1" applyAlignment="1">
      <alignment horizontal="center"/>
    </xf>
    <xf numFmtId="0" fontId="100" fillId="3" borderId="1" xfId="0" applyFont="1" applyFill="1" applyBorder="1" applyAlignment="1">
      <alignment horizontal="center" vertical="top" wrapText="1"/>
    </xf>
    <xf numFmtId="164" fontId="34" fillId="0" borderId="1" xfId="0" applyNumberFormat="1" applyFont="1" applyBorder="1" applyAlignment="1">
      <alignment horizontal="left" vertical="top" wrapText="1"/>
    </xf>
    <xf numFmtId="0" fontId="34" fillId="0" borderId="3" xfId="0" applyFont="1" applyFill="1" applyBorder="1" applyAlignment="1">
      <alignment horizontal="center" vertical="top" wrapText="1"/>
    </xf>
    <xf numFmtId="0" fontId="68" fillId="0" borderId="0" xfId="0" applyFont="1" applyFill="1"/>
    <xf numFmtId="4" fontId="20" fillId="0" borderId="0" xfId="0" applyNumberFormat="1" applyFont="1" applyFill="1"/>
    <xf numFmtId="0" fontId="68" fillId="0" borderId="0" xfId="0" applyFont="1" applyFill="1" applyAlignment="1">
      <alignment horizontal="center"/>
    </xf>
    <xf numFmtId="0" fontId="4" fillId="0" borderId="0" xfId="0" applyFont="1" applyFill="1" applyBorder="1" applyAlignment="1">
      <alignment horizontal="center" vertical="top" wrapText="1"/>
    </xf>
    <xf numFmtId="0" fontId="0" fillId="0" borderId="0" xfId="0" applyFill="1" applyBorder="1" applyAlignment="1">
      <alignment wrapText="1"/>
    </xf>
    <xf numFmtId="0" fontId="64" fillId="0" borderId="0" xfId="0" applyFont="1" applyFill="1" applyBorder="1" applyAlignment="1">
      <alignment horizontal="center" vertical="top" wrapText="1"/>
    </xf>
    <xf numFmtId="0" fontId="70" fillId="0" borderId="0" xfId="0" applyFont="1" applyFill="1" applyBorder="1" applyAlignment="1">
      <alignment horizontal="center" vertical="top" wrapText="1"/>
    </xf>
    <xf numFmtId="164" fontId="66" fillId="0" borderId="0" xfId="0" applyNumberFormat="1" applyFont="1" applyFill="1" applyAlignment="1">
      <alignment horizontal="center"/>
    </xf>
    <xf numFmtId="0" fontId="37" fillId="0" borderId="0" xfId="0" applyFont="1" applyFill="1" applyBorder="1" applyAlignment="1">
      <alignment horizontal="center" vertical="top" wrapText="1"/>
    </xf>
    <xf numFmtId="0" fontId="37" fillId="0" borderId="0" xfId="0" applyFont="1" applyFill="1" applyBorder="1" applyAlignment="1">
      <alignment vertical="top" wrapText="1"/>
    </xf>
    <xf numFmtId="0" fontId="99" fillId="0" borderId="1" xfId="0" applyFont="1" applyBorder="1" applyAlignment="1">
      <alignment horizontal="center"/>
    </xf>
    <xf numFmtId="0" fontId="99" fillId="0" borderId="0" xfId="0" applyFont="1" applyAlignment="1">
      <alignment horizontal="center"/>
    </xf>
    <xf numFmtId="0" fontId="99" fillId="0" borderId="2" xfId="0" applyFont="1" applyBorder="1" applyAlignment="1">
      <alignment horizontal="center"/>
    </xf>
    <xf numFmtId="0" fontId="115" fillId="0" borderId="0" xfId="0" applyFont="1" applyAlignment="1">
      <alignment horizontal="center" vertical="top" wrapText="1"/>
    </xf>
    <xf numFmtId="0" fontId="99" fillId="0" borderId="0" xfId="0" applyFont="1" applyBorder="1" applyAlignment="1">
      <alignment horizontal="center"/>
    </xf>
    <xf numFmtId="0" fontId="61" fillId="0" borderId="0" xfId="0" applyFont="1" applyAlignment="1">
      <alignment horizontal="right" vertical="top" wrapText="1"/>
    </xf>
    <xf numFmtId="164" fontId="80" fillId="0" borderId="0" xfId="0" applyNumberFormat="1" applyFont="1" applyFill="1" applyBorder="1" applyAlignment="1">
      <alignment horizontal="center"/>
    </xf>
    <xf numFmtId="3" fontId="82" fillId="0" borderId="0" xfId="0" applyNumberFormat="1" applyFont="1" applyBorder="1" applyAlignment="1">
      <alignment horizontal="right" vertical="top" wrapText="1"/>
    </xf>
    <xf numFmtId="0" fontId="90" fillId="0" borderId="0" xfId="0" applyFont="1" applyAlignment="1">
      <alignment wrapText="1"/>
    </xf>
    <xf numFmtId="0" fontId="94" fillId="0" borderId="0" xfId="0" applyFont="1" applyAlignment="1">
      <alignment wrapText="1"/>
    </xf>
    <xf numFmtId="3" fontId="93" fillId="0" borderId="0" xfId="0" applyNumberFormat="1" applyFont="1" applyAlignment="1">
      <alignment vertical="center"/>
    </xf>
    <xf numFmtId="0" fontId="104" fillId="0" borderId="0" xfId="0" applyFont="1" applyAlignment="1">
      <alignment horizontal="center" vertical="top" wrapText="1"/>
    </xf>
    <xf numFmtId="164" fontId="80" fillId="0" borderId="0" xfId="0" applyNumberFormat="1" applyFont="1" applyFill="1" applyAlignment="1">
      <alignment horizontal="center"/>
    </xf>
    <xf numFmtId="0" fontId="108" fillId="0" borderId="0" xfId="0" applyFont="1" applyBorder="1" applyAlignment="1">
      <alignment horizontal="center" vertical="top" wrapText="1"/>
    </xf>
    <xf numFmtId="1" fontId="117" fillId="0" borderId="0" xfId="0" applyNumberFormat="1" applyFont="1" applyFill="1" applyAlignment="1">
      <alignment horizontal="center"/>
    </xf>
    <xf numFmtId="4" fontId="52" fillId="0" borderId="0" xfId="0" applyNumberFormat="1" applyFont="1" applyFill="1" applyAlignment="1">
      <alignment horizontal="center" vertical="top" wrapText="1"/>
    </xf>
    <xf numFmtId="0" fontId="89" fillId="0" borderId="0" xfId="0" applyFont="1" applyFill="1" applyBorder="1" applyAlignment="1">
      <alignment horizontal="center" vertical="top" wrapText="1"/>
    </xf>
    <xf numFmtId="0" fontId="108" fillId="0" borderId="0" xfId="0" applyFont="1" applyFill="1" applyBorder="1" applyAlignment="1">
      <alignment horizontal="center" vertical="top" wrapText="1"/>
    </xf>
    <xf numFmtId="0" fontId="102" fillId="0" borderId="0" xfId="0" applyFont="1" applyFill="1" applyBorder="1" applyAlignment="1">
      <alignment horizontal="center" vertical="center"/>
    </xf>
    <xf numFmtId="0" fontId="99" fillId="0" borderId="0" xfId="0" applyFont="1" applyFill="1" applyBorder="1" applyAlignment="1">
      <alignment horizontal="center"/>
    </xf>
    <xf numFmtId="0" fontId="82" fillId="0" borderId="1" xfId="0" applyFont="1" applyFill="1" applyBorder="1" applyAlignment="1">
      <alignment horizontal="left" vertical="top"/>
    </xf>
    <xf numFmtId="0" fontId="40" fillId="0" borderId="1" xfId="0" applyFont="1" applyBorder="1" applyAlignment="1">
      <alignment horizontal="right" vertical="top"/>
    </xf>
    <xf numFmtId="0" fontId="0" fillId="0" borderId="1" xfId="0" applyBorder="1" applyAlignment="1">
      <alignment horizontal="right" vertical="top"/>
    </xf>
    <xf numFmtId="0" fontId="40" fillId="0" borderId="1" xfId="0" applyFont="1" applyBorder="1" applyAlignment="1">
      <alignment horizontal="right" vertical="top" wrapText="1"/>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0" fillId="0" borderId="0" xfId="0" applyFont="1" applyAlignment="1">
      <alignment horizontal="center" vertical="center"/>
    </xf>
    <xf numFmtId="4" fontId="21" fillId="0" borderId="0" xfId="0" applyNumberFormat="1" applyFont="1" applyAlignment="1">
      <alignment horizontal="center" vertical="center"/>
    </xf>
    <xf numFmtId="0" fontId="68" fillId="0" borderId="0" xfId="0" applyFont="1" applyAlignment="1">
      <alignment horizontal="center" vertical="center"/>
    </xf>
    <xf numFmtId="0" fontId="5" fillId="0" borderId="0" xfId="0" applyFont="1" applyAlignment="1">
      <alignment vertical="center"/>
    </xf>
    <xf numFmtId="0" fontId="68" fillId="0" borderId="0" xfId="0" applyFont="1" applyAlignment="1">
      <alignment vertical="center"/>
    </xf>
    <xf numFmtId="164" fontId="32" fillId="0" borderId="1" xfId="0" applyNumberFormat="1" applyFont="1" applyFill="1" applyBorder="1" applyAlignment="1">
      <alignment horizontal="center"/>
    </xf>
    <xf numFmtId="0" fontId="95" fillId="0" borderId="0" xfId="0" applyFont="1" applyAlignment="1">
      <alignment horizontal="center"/>
    </xf>
    <xf numFmtId="0" fontId="112" fillId="0" borderId="0" xfId="0" applyFont="1" applyAlignment="1">
      <alignment vertical="top" wrapText="1"/>
    </xf>
    <xf numFmtId="164" fontId="80" fillId="0" borderId="0" xfId="0" applyNumberFormat="1" applyFont="1" applyFill="1" applyAlignment="1">
      <alignment horizontal="center" vertical="center"/>
    </xf>
    <xf numFmtId="0" fontId="38" fillId="0" borderId="1" xfId="0" applyFont="1" applyBorder="1" applyAlignment="1">
      <alignment horizontal="center" vertical="top"/>
    </xf>
    <xf numFmtId="0" fontId="123" fillId="0" borderId="0" xfId="0" applyFont="1" applyFill="1" applyBorder="1" applyAlignment="1">
      <alignment horizontal="right" vertical="top" wrapText="1"/>
    </xf>
    <xf numFmtId="0" fontId="125" fillId="0" borderId="0" xfId="0" applyFont="1"/>
    <xf numFmtId="0" fontId="112" fillId="0" borderId="0" xfId="0" applyFont="1" applyAlignment="1">
      <alignment horizontal="left" vertical="top" wrapText="1"/>
    </xf>
    <xf numFmtId="0" fontId="116" fillId="0" borderId="0" xfId="0" applyFont="1" applyAlignment="1">
      <alignment horizontal="center" vertical="top" wrapText="1"/>
    </xf>
    <xf numFmtId="164" fontId="32" fillId="0" borderId="0" xfId="0" applyNumberFormat="1" applyFont="1" applyBorder="1" applyAlignment="1">
      <alignment horizontal="center" vertical="center"/>
    </xf>
    <xf numFmtId="0" fontId="54" fillId="0" borderId="0" xfId="0" applyFont="1" applyBorder="1" applyAlignment="1">
      <alignment horizontal="right" vertical="top" wrapText="1"/>
    </xf>
    <xf numFmtId="0" fontId="12" fillId="0" borderId="0" xfId="0" applyFont="1" applyFill="1" applyAlignment="1">
      <alignment horizontal="center" vertical="center"/>
    </xf>
    <xf numFmtId="0" fontId="11" fillId="0" borderId="0" xfId="0" applyFont="1" applyFill="1" applyAlignment="1">
      <alignment horizontal="right" vertical="center"/>
    </xf>
    <xf numFmtId="164" fontId="80" fillId="0" borderId="2" xfId="0" applyNumberFormat="1" applyFont="1" applyBorder="1" applyAlignment="1">
      <alignment horizontal="center" vertical="center"/>
    </xf>
    <xf numFmtId="1" fontId="81" fillId="0" borderId="0" xfId="0" applyNumberFormat="1" applyFont="1" applyFill="1" applyBorder="1" applyAlignment="1">
      <alignment horizontal="center" vertical="center"/>
    </xf>
    <xf numFmtId="164" fontId="80" fillId="0" borderId="2" xfId="0" applyNumberFormat="1" applyFont="1" applyFill="1" applyBorder="1" applyAlignment="1">
      <alignment horizontal="center" vertical="center"/>
    </xf>
    <xf numFmtId="164" fontId="80" fillId="0" borderId="0" xfId="0" applyNumberFormat="1" applyFont="1" applyFill="1" applyBorder="1" applyAlignment="1">
      <alignment horizontal="center" vertical="center"/>
    </xf>
    <xf numFmtId="0" fontId="11" fillId="0" borderId="0" xfId="0" applyFont="1" applyAlignment="1">
      <alignment horizontal="right" vertical="center"/>
    </xf>
    <xf numFmtId="164" fontId="32" fillId="0" borderId="0" xfId="0" applyNumberFormat="1" applyFont="1" applyFill="1" applyAlignment="1">
      <alignment horizontal="center" vertical="center"/>
    </xf>
    <xf numFmtId="164" fontId="15" fillId="0" borderId="0" xfId="0" applyNumberFormat="1" applyFont="1" applyAlignment="1">
      <alignment horizontal="center" vertical="center"/>
    </xf>
    <xf numFmtId="3" fontId="18" fillId="0" borderId="0" xfId="0" applyNumberFormat="1" applyFont="1" applyAlignment="1">
      <alignment horizontal="center" vertical="center"/>
    </xf>
    <xf numFmtId="164" fontId="85" fillId="2" borderId="1" xfId="0" applyNumberFormat="1" applyFont="1" applyFill="1" applyBorder="1" applyAlignment="1">
      <alignment horizontal="center" vertical="center"/>
    </xf>
    <xf numFmtId="164" fontId="119" fillId="2" borderId="2" xfId="0" applyNumberFormat="1" applyFont="1" applyFill="1" applyBorder="1" applyAlignment="1">
      <alignment horizontal="center" vertical="center"/>
    </xf>
    <xf numFmtId="164" fontId="80" fillId="2" borderId="1" xfId="0" applyNumberFormat="1" applyFont="1" applyFill="1" applyBorder="1" applyAlignment="1">
      <alignment horizontal="center" vertical="center"/>
    </xf>
    <xf numFmtId="164" fontId="95" fillId="2" borderId="2" xfId="0" applyNumberFormat="1" applyFont="1" applyFill="1" applyBorder="1" applyAlignment="1">
      <alignment horizontal="center" vertical="center"/>
    </xf>
    <xf numFmtId="0" fontId="128" fillId="0" borderId="0" xfId="0" applyFont="1" applyBorder="1" applyAlignment="1">
      <alignment horizontal="center" vertical="center"/>
    </xf>
    <xf numFmtId="0" fontId="80" fillId="0" borderId="0" xfId="0" applyFont="1" applyBorder="1" applyAlignment="1">
      <alignment horizontal="center" vertical="center"/>
    </xf>
    <xf numFmtId="0" fontId="28" fillId="0" borderId="0" xfId="0" applyFont="1" applyBorder="1" applyAlignment="1">
      <alignment horizontal="center" vertical="center"/>
    </xf>
    <xf numFmtId="0" fontId="45" fillId="0" borderId="0" xfId="0" applyFont="1" applyFill="1" applyBorder="1" applyAlignment="1">
      <alignment horizontal="center" vertical="center"/>
    </xf>
    <xf numFmtId="0" fontId="45" fillId="0" borderId="0" xfId="0" applyFont="1" applyFill="1" applyBorder="1" applyAlignment="1">
      <alignment vertical="center"/>
    </xf>
    <xf numFmtId="164" fontId="32" fillId="0" borderId="0" xfId="0" applyNumberFormat="1" applyFont="1" applyBorder="1" applyAlignment="1">
      <alignment horizontal="right" vertical="center"/>
    </xf>
    <xf numFmtId="164" fontId="28" fillId="0" borderId="0" xfId="0" applyNumberFormat="1" applyFont="1" applyBorder="1" applyAlignment="1">
      <alignment horizontal="left" vertical="center"/>
    </xf>
    <xf numFmtId="164" fontId="28" fillId="0" borderId="0" xfId="0" applyNumberFormat="1" applyFont="1" applyFill="1" applyBorder="1" applyAlignment="1">
      <alignment horizontal="center" vertical="center"/>
    </xf>
    <xf numFmtId="0" fontId="129" fillId="0" borderId="0" xfId="0" applyFont="1" applyBorder="1" applyAlignment="1">
      <alignment vertical="center"/>
    </xf>
    <xf numFmtId="0" fontId="18" fillId="0" borderId="0" xfId="0" applyFont="1" applyBorder="1" applyAlignment="1">
      <alignment horizontal="center" vertical="center"/>
    </xf>
    <xf numFmtId="0" fontId="18" fillId="0" borderId="0" xfId="0" applyFont="1" applyFill="1" applyBorder="1" applyAlignment="1">
      <alignment horizontal="center" vertical="center"/>
    </xf>
    <xf numFmtId="0" fontId="49" fillId="0" borderId="0" xfId="0" applyFont="1" applyFill="1" applyBorder="1" applyAlignment="1">
      <alignment vertical="center"/>
    </xf>
    <xf numFmtId="0" fontId="10" fillId="0" borderId="0" xfId="0" applyFont="1" applyAlignment="1">
      <alignment horizontal="left" vertical="center"/>
    </xf>
    <xf numFmtId="0" fontId="127" fillId="0" borderId="0" xfId="0" applyFont="1" applyAlignment="1">
      <alignment vertical="center"/>
    </xf>
    <xf numFmtId="164" fontId="32" fillId="0" borderId="0" xfId="0" applyNumberFormat="1"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75" fillId="0" borderId="0" xfId="0" applyFont="1" applyAlignment="1">
      <alignment horizontal="center" vertical="center"/>
    </xf>
    <xf numFmtId="0" fontId="11" fillId="0" borderId="0" xfId="0" applyFont="1" applyFill="1" applyAlignment="1">
      <alignment horizontal="center" vertical="center"/>
    </xf>
    <xf numFmtId="0" fontId="127" fillId="0" borderId="0" xfId="0" applyFont="1" applyFill="1" applyAlignment="1">
      <alignment horizontal="center"/>
    </xf>
    <xf numFmtId="166" fontId="107" fillId="0" borderId="0" xfId="0" applyNumberFormat="1" applyFont="1" applyFill="1" applyAlignment="1">
      <alignment horizontal="center"/>
    </xf>
    <xf numFmtId="164" fontId="107" fillId="0" borderId="0" xfId="0" applyNumberFormat="1" applyFont="1" applyFill="1" applyAlignment="1">
      <alignment horizontal="center"/>
    </xf>
    <xf numFmtId="0" fontId="87" fillId="0" borderId="0" xfId="0" applyFont="1" applyFill="1" applyAlignment="1">
      <alignment horizontal="center"/>
    </xf>
    <xf numFmtId="1" fontId="113" fillId="0" borderId="0" xfId="0" applyNumberFormat="1" applyFont="1" applyFill="1" applyAlignment="1">
      <alignment horizontal="right"/>
    </xf>
    <xf numFmtId="164" fontId="107" fillId="0" borderId="0" xfId="0" applyNumberFormat="1" applyFont="1" applyAlignment="1">
      <alignment horizontal="center" vertical="center"/>
    </xf>
    <xf numFmtId="164" fontId="107" fillId="0" borderId="0" xfId="0" applyNumberFormat="1" applyFont="1" applyFill="1" applyAlignment="1">
      <alignment horizontal="center" vertical="center"/>
    </xf>
    <xf numFmtId="0" fontId="97" fillId="0" borderId="0" xfId="0" applyFont="1" applyFill="1"/>
    <xf numFmtId="0" fontId="113" fillId="0" borderId="0" xfId="0" applyFont="1" applyFill="1" applyAlignment="1">
      <alignment horizontal="right"/>
    </xf>
    <xf numFmtId="0" fontId="134" fillId="0" borderId="0" xfId="0" applyFont="1" applyFill="1" applyAlignment="1">
      <alignment horizontal="right"/>
    </xf>
    <xf numFmtId="0" fontId="59" fillId="0" borderId="0" xfId="0" applyFont="1" applyAlignment="1">
      <alignment horizontal="left" vertical="top" wrapText="1"/>
    </xf>
    <xf numFmtId="0" fontId="59" fillId="0" borderId="0" xfId="0" applyFont="1" applyAlignment="1">
      <alignment vertical="top" wrapText="1"/>
    </xf>
    <xf numFmtId="0" fontId="0" fillId="0" borderId="0" xfId="0" applyAlignment="1">
      <alignment vertical="top" wrapText="1"/>
    </xf>
    <xf numFmtId="0" fontId="0" fillId="0" borderId="0" xfId="0" applyAlignment="1">
      <alignment horizontal="right" vertical="top" wrapText="1"/>
    </xf>
    <xf numFmtId="164" fontId="15" fillId="0" borderId="0" xfId="0" applyNumberFormat="1" applyFont="1" applyFill="1" applyAlignment="1">
      <alignment horizontal="center" vertical="center"/>
    </xf>
    <xf numFmtId="3" fontId="18" fillId="0" borderId="0" xfId="0" applyNumberFormat="1" applyFont="1" applyFill="1" applyAlignment="1">
      <alignment horizontal="center" vertical="center"/>
    </xf>
    <xf numFmtId="0" fontId="127" fillId="0" borderId="0" xfId="0" applyFont="1" applyFill="1" applyAlignment="1">
      <alignment vertical="center"/>
    </xf>
    <xf numFmtId="0" fontId="7" fillId="0" borderId="0" xfId="0" applyFont="1" applyFill="1" applyAlignment="1">
      <alignment vertical="center"/>
    </xf>
    <xf numFmtId="0" fontId="127" fillId="0" borderId="0" xfId="0" applyFont="1" applyFill="1" applyBorder="1" applyAlignment="1">
      <alignment horizontal="center" vertical="top" wrapText="1"/>
    </xf>
    <xf numFmtId="0" fontId="112" fillId="0" borderId="0" xfId="0" applyFont="1" applyFill="1" applyBorder="1" applyAlignment="1">
      <alignment vertical="top" wrapText="1"/>
    </xf>
    <xf numFmtId="164" fontId="32" fillId="2" borderId="1" xfId="0" applyNumberFormat="1" applyFont="1" applyFill="1" applyBorder="1" applyAlignment="1">
      <alignment horizontal="center" vertical="center"/>
    </xf>
    <xf numFmtId="164" fontId="7" fillId="2" borderId="2" xfId="0" applyNumberFormat="1" applyFont="1" applyFill="1" applyBorder="1" applyAlignment="1">
      <alignment horizontal="center" vertical="center"/>
    </xf>
    <xf numFmtId="0" fontId="135" fillId="0" borderId="0" xfId="1" applyFont="1" applyFill="1" applyBorder="1" applyAlignment="1">
      <alignment vertical="top" wrapText="1"/>
    </xf>
    <xf numFmtId="0" fontId="111" fillId="0" borderId="0" xfId="0" applyFont="1" applyBorder="1" applyAlignment="1">
      <alignment horizontal="right" vertical="top" wrapText="1"/>
    </xf>
    <xf numFmtId="0" fontId="15" fillId="0" borderId="0" xfId="0" applyFont="1" applyFill="1" applyBorder="1" applyAlignment="1">
      <alignment horizontal="center"/>
    </xf>
    <xf numFmtId="164" fontId="65" fillId="0" borderId="0" xfId="0" applyNumberFormat="1" applyFont="1" applyFill="1" applyBorder="1" applyAlignment="1">
      <alignment horizontal="center"/>
    </xf>
    <xf numFmtId="164" fontId="17" fillId="0" borderId="0" xfId="0" applyNumberFormat="1" applyFont="1" applyBorder="1" applyAlignment="1">
      <alignment horizontal="center"/>
    </xf>
    <xf numFmtId="164" fontId="7" fillId="0" borderId="0" xfId="0" applyNumberFormat="1" applyFont="1" applyFill="1" applyBorder="1" applyAlignment="1">
      <alignment horizontal="center"/>
    </xf>
    <xf numFmtId="1" fontId="48"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0" fontId="55" fillId="0" borderId="0" xfId="0" applyFont="1" applyFill="1" applyBorder="1" applyAlignment="1"/>
    <xf numFmtId="0" fontId="117" fillId="0" borderId="0" xfId="0" applyFont="1" applyAlignment="1">
      <alignment vertical="top" wrapText="1"/>
    </xf>
    <xf numFmtId="0" fontId="38" fillId="0" borderId="1" xfId="0" applyFont="1" applyBorder="1" applyAlignment="1">
      <alignment horizontal="center" vertical="top" wrapText="1"/>
    </xf>
    <xf numFmtId="0" fontId="40" fillId="0" borderId="1" xfId="0" applyFont="1" applyBorder="1" applyAlignment="1">
      <alignment vertical="top"/>
    </xf>
    <xf numFmtId="164" fontId="28" fillId="0" borderId="1" xfId="0" applyNumberFormat="1" applyFont="1" applyFill="1" applyBorder="1" applyAlignment="1">
      <alignment horizontal="center"/>
    </xf>
    <xf numFmtId="0" fontId="5" fillId="0" borderId="0" xfId="0" applyFont="1" applyAlignment="1">
      <alignment vertical="top"/>
    </xf>
    <xf numFmtId="0" fontId="68" fillId="0" borderId="0" xfId="0" applyFont="1" applyAlignment="1">
      <alignment vertical="top"/>
    </xf>
    <xf numFmtId="0" fontId="92" fillId="0" borderId="0" xfId="0" applyFont="1"/>
    <xf numFmtId="0" fontId="92" fillId="0" borderId="0" xfId="0" applyFont="1" applyFill="1" applyAlignment="1">
      <alignment horizontal="center"/>
    </xf>
    <xf numFmtId="1" fontId="139" fillId="0" borderId="0" xfId="0" applyNumberFormat="1" applyFont="1" applyFill="1" applyAlignment="1">
      <alignment horizontal="center"/>
    </xf>
    <xf numFmtId="0" fontId="10" fillId="0" borderId="0" xfId="0" applyFont="1" applyFill="1" applyBorder="1" applyAlignment="1">
      <alignment horizontal="right" vertical="center"/>
    </xf>
    <xf numFmtId="3" fontId="81" fillId="0" borderId="0" xfId="0" applyNumberFormat="1" applyFont="1" applyFill="1" applyBorder="1" applyAlignment="1">
      <alignment horizontal="center" vertical="center"/>
    </xf>
    <xf numFmtId="0" fontId="10" fillId="0" borderId="0" xfId="0" applyFont="1" applyFill="1" applyAlignment="1">
      <alignment horizontal="right" vertical="center"/>
    </xf>
    <xf numFmtId="0" fontId="81" fillId="0" borderId="0" xfId="0" applyFont="1" applyFill="1" applyAlignment="1">
      <alignment horizontal="center" vertical="center"/>
    </xf>
    <xf numFmtId="0" fontId="86" fillId="0" borderId="0" xfId="0" applyFont="1" applyFill="1" applyAlignment="1">
      <alignment horizontal="right" vertical="center"/>
    </xf>
    <xf numFmtId="0" fontId="59" fillId="0" borderId="0" xfId="0" applyFont="1" applyFill="1" applyBorder="1" applyAlignment="1">
      <alignment horizontal="center" vertical="center"/>
    </xf>
    <xf numFmtId="0" fontId="84" fillId="0" borderId="0" xfId="0" applyFont="1" applyFill="1" applyAlignment="1">
      <alignment vertical="center"/>
    </xf>
    <xf numFmtId="0" fontId="12" fillId="0" borderId="0" xfId="0" applyFont="1" applyFill="1" applyAlignment="1">
      <alignment horizontal="right" vertical="center"/>
    </xf>
    <xf numFmtId="0" fontId="12" fillId="0" borderId="0" xfId="0" applyFont="1" applyFill="1" applyBorder="1" applyAlignment="1">
      <alignment horizontal="right" vertical="center"/>
    </xf>
    <xf numFmtId="0" fontId="117" fillId="0" borderId="0" xfId="0" applyFont="1" applyFill="1" applyAlignment="1">
      <alignment vertical="center"/>
    </xf>
    <xf numFmtId="3" fontId="93" fillId="0" borderId="0" xfId="0" applyNumberFormat="1" applyFont="1" applyFill="1" applyAlignment="1">
      <alignment vertical="center"/>
    </xf>
    <xf numFmtId="0" fontId="91" fillId="0" borderId="0" xfId="0" applyFont="1" applyFill="1" applyAlignment="1">
      <alignment vertical="center"/>
    </xf>
    <xf numFmtId="0" fontId="115" fillId="0" borderId="0" xfId="0" applyFont="1" applyFill="1" applyAlignment="1">
      <alignment vertical="top"/>
    </xf>
    <xf numFmtId="0" fontId="12" fillId="0" borderId="0" xfId="0" applyFont="1" applyAlignment="1">
      <alignment horizontal="right" vertical="center"/>
    </xf>
    <xf numFmtId="164" fontId="15" fillId="0" borderId="3" xfId="0" applyNumberFormat="1" applyFont="1" applyFill="1" applyBorder="1" applyAlignment="1">
      <alignment horizontal="center" vertical="center"/>
    </xf>
    <xf numFmtId="164" fontId="11" fillId="0" borderId="0" xfId="0" applyNumberFormat="1" applyFont="1" applyAlignment="1">
      <alignment horizontal="center" vertical="center"/>
    </xf>
    <xf numFmtId="3" fontId="19" fillId="0" borderId="0" xfId="0" applyNumberFormat="1" applyFont="1" applyAlignment="1">
      <alignment horizontal="center" vertical="center"/>
    </xf>
    <xf numFmtId="164" fontId="11" fillId="0" borderId="0" xfId="0" applyNumberFormat="1" applyFont="1" applyFill="1" applyAlignment="1">
      <alignment horizontal="center" vertical="center"/>
    </xf>
    <xf numFmtId="3" fontId="19" fillId="0" borderId="0" xfId="0" applyNumberFormat="1" applyFont="1" applyFill="1" applyAlignment="1">
      <alignment horizontal="center" vertical="center"/>
    </xf>
    <xf numFmtId="0" fontId="99" fillId="0" borderId="0" xfId="0" applyFont="1" applyFill="1" applyAlignment="1">
      <alignment horizontal="right" vertical="center"/>
    </xf>
    <xf numFmtId="0" fontId="118" fillId="0" borderId="1" xfId="0" applyFont="1" applyFill="1" applyBorder="1" applyAlignment="1">
      <alignment horizontal="center" vertical="center"/>
    </xf>
    <xf numFmtId="0" fontId="117" fillId="0" borderId="0" xfId="0" applyFont="1" applyFill="1" applyBorder="1" applyAlignment="1">
      <alignment horizontal="center" vertical="center"/>
    </xf>
    <xf numFmtId="3" fontId="28" fillId="0" borderId="0" xfId="0" applyNumberFormat="1" applyFont="1" applyFill="1" applyBorder="1" applyAlignment="1">
      <alignment horizontal="center" vertical="center"/>
    </xf>
    <xf numFmtId="3" fontId="81" fillId="3" borderId="1" xfId="0"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0" fillId="0" borderId="0" xfId="0" applyFont="1" applyAlignment="1">
      <alignment horizontal="right" vertical="center"/>
    </xf>
    <xf numFmtId="164" fontId="78" fillId="2" borderId="1" xfId="0" applyNumberFormat="1" applyFont="1" applyFill="1" applyBorder="1" applyAlignment="1">
      <alignment horizontal="center" vertical="center"/>
    </xf>
    <xf numFmtId="164" fontId="7" fillId="2" borderId="0" xfId="0" applyNumberFormat="1" applyFont="1" applyFill="1" applyBorder="1" applyAlignment="1">
      <alignment horizontal="center" vertical="center"/>
    </xf>
    <xf numFmtId="1" fontId="93" fillId="0" borderId="0" xfId="0" applyNumberFormat="1" applyFont="1" applyFill="1" applyAlignment="1">
      <alignment horizontal="right" vertical="center"/>
    </xf>
    <xf numFmtId="165" fontId="93" fillId="0" borderId="0" xfId="0" applyNumberFormat="1" applyFont="1" applyFill="1" applyAlignment="1">
      <alignment vertical="center"/>
    </xf>
    <xf numFmtId="0" fontId="94" fillId="0" borderId="0" xfId="0" applyFont="1" applyFill="1" applyAlignment="1">
      <alignment vertical="center"/>
    </xf>
    <xf numFmtId="164" fontId="32" fillId="0" borderId="2" xfId="0" applyNumberFormat="1" applyFont="1" applyFill="1" applyBorder="1" applyAlignment="1">
      <alignment horizontal="center" vertical="center"/>
    </xf>
    <xf numFmtId="3" fontId="80" fillId="0" borderId="0" xfId="0" applyNumberFormat="1" applyFont="1" applyFill="1" applyAlignment="1">
      <alignment horizontal="center" vertical="center"/>
    </xf>
    <xf numFmtId="164" fontId="28" fillId="0" borderId="0" xfId="0" applyNumberFormat="1" applyFont="1" applyAlignment="1">
      <alignment horizontal="center" vertical="center"/>
    </xf>
    <xf numFmtId="164" fontId="49" fillId="0" borderId="0" xfId="0" applyNumberFormat="1" applyFont="1" applyAlignment="1">
      <alignment horizontal="center" vertical="center"/>
    </xf>
    <xf numFmtId="3" fontId="90" fillId="0" borderId="0" xfId="0" applyNumberFormat="1" applyFont="1" applyAlignment="1">
      <alignment horizontal="center" vertical="center"/>
    </xf>
    <xf numFmtId="3" fontId="91" fillId="0" borderId="0" xfId="0" applyNumberFormat="1" applyFont="1" applyAlignment="1">
      <alignment vertical="center"/>
    </xf>
    <xf numFmtId="0" fontId="91" fillId="0" borderId="0" xfId="0" applyFont="1" applyAlignment="1">
      <alignment vertical="center"/>
    </xf>
    <xf numFmtId="0" fontId="94" fillId="0" borderId="0" xfId="0" applyFont="1" applyAlignment="1">
      <alignment vertical="center"/>
    </xf>
    <xf numFmtId="164" fontId="28" fillId="0" borderId="0" xfId="0" applyNumberFormat="1" applyFont="1" applyFill="1" applyAlignment="1">
      <alignment horizontal="center" vertical="center"/>
    </xf>
    <xf numFmtId="164" fontId="49" fillId="0" borderId="0" xfId="0" applyNumberFormat="1" applyFont="1" applyFill="1" applyAlignment="1">
      <alignment horizontal="center" vertical="center"/>
    </xf>
    <xf numFmtId="3" fontId="90" fillId="0" borderId="0" xfId="0" applyNumberFormat="1" applyFont="1" applyFill="1" applyAlignment="1">
      <alignment horizontal="center" vertical="center"/>
    </xf>
    <xf numFmtId="3" fontId="91" fillId="0" borderId="0" xfId="0" applyNumberFormat="1" applyFont="1" applyFill="1" applyAlignment="1">
      <alignment vertical="center"/>
    </xf>
    <xf numFmtId="0" fontId="68" fillId="0" borderId="0" xfId="0" applyFont="1" applyFill="1" applyAlignment="1">
      <alignment vertical="center"/>
    </xf>
    <xf numFmtId="0" fontId="22" fillId="0" borderId="0" xfId="0" applyFont="1" applyAlignment="1">
      <alignment horizontal="right" vertical="center"/>
    </xf>
    <xf numFmtId="0" fontId="29" fillId="0" borderId="0" xfId="0" applyFont="1" applyFill="1" applyAlignment="1">
      <alignment horizontal="center" vertical="center"/>
    </xf>
    <xf numFmtId="0" fontId="23" fillId="0" borderId="0" xfId="0" applyFont="1" applyFill="1" applyAlignment="1">
      <alignment horizontal="center" vertical="center"/>
    </xf>
    <xf numFmtId="0" fontId="26" fillId="0" borderId="0" xfId="0" applyFont="1" applyAlignment="1">
      <alignment horizontal="center" vertical="center"/>
    </xf>
    <xf numFmtId="1" fontId="80" fillId="0" borderId="0" xfId="0" applyNumberFormat="1" applyFont="1" applyAlignment="1">
      <alignment horizontal="center" vertical="center"/>
    </xf>
    <xf numFmtId="1" fontId="80" fillId="0" borderId="0" xfId="0" applyNumberFormat="1" applyFont="1" applyFill="1" applyAlignment="1">
      <alignment horizontal="center" vertical="center"/>
    </xf>
    <xf numFmtId="1" fontId="93" fillId="0" borderId="0" xfId="0" applyNumberFormat="1" applyFont="1" applyAlignment="1">
      <alignment vertical="center"/>
    </xf>
    <xf numFmtId="0" fontId="17" fillId="0" borderId="0" xfId="0" applyFont="1" applyFill="1" applyAlignment="1">
      <alignment vertical="center"/>
    </xf>
    <xf numFmtId="0" fontId="10" fillId="0" borderId="0" xfId="0" applyFont="1" applyBorder="1" applyAlignment="1">
      <alignment horizontal="right" vertical="center"/>
    </xf>
    <xf numFmtId="0" fontId="17" fillId="0" borderId="0" xfId="0" applyFont="1" applyAlignment="1">
      <alignment vertical="center"/>
    </xf>
    <xf numFmtId="0" fontId="121" fillId="0" borderId="0" xfId="0" applyFont="1" applyFill="1" applyAlignment="1">
      <alignment vertical="top" wrapText="1"/>
    </xf>
    <xf numFmtId="0" fontId="59" fillId="0" borderId="0" xfId="0" applyFont="1" applyFill="1" applyAlignment="1">
      <alignment horizontal="left" vertical="top" wrapText="1"/>
    </xf>
    <xf numFmtId="0" fontId="59" fillId="0" borderId="0" xfId="0" applyFont="1" applyFill="1" applyAlignment="1">
      <alignment vertical="top" wrapText="1"/>
    </xf>
    <xf numFmtId="0" fontId="39" fillId="0" borderId="0" xfId="0" applyFont="1" applyFill="1" applyBorder="1" applyAlignment="1">
      <alignment horizontal="right" vertical="top" wrapText="1"/>
    </xf>
    <xf numFmtId="0" fontId="140" fillId="6" borderId="2" xfId="0" applyFont="1" applyFill="1" applyBorder="1" applyAlignment="1">
      <alignment horizontal="center" vertical="top" wrapText="1"/>
    </xf>
    <xf numFmtId="0" fontId="112" fillId="0" borderId="0" xfId="2" applyFont="1" applyAlignment="1">
      <alignment vertical="top" wrapText="1"/>
    </xf>
    <xf numFmtId="3" fontId="79" fillId="3" borderId="1" xfId="0" applyNumberFormat="1" applyFont="1" applyFill="1" applyBorder="1" applyAlignment="1">
      <alignment horizontal="center" vertical="center"/>
    </xf>
    <xf numFmtId="0" fontId="40" fillId="0" borderId="0" xfId="0" applyFont="1" applyBorder="1" applyAlignment="1">
      <alignment vertical="top" wrapText="1"/>
    </xf>
    <xf numFmtId="0" fontId="40" fillId="0" borderId="0" xfId="0" applyFont="1" applyBorder="1" applyAlignment="1">
      <alignment horizontal="right" vertical="top" wrapText="1"/>
    </xf>
    <xf numFmtId="0" fontId="53" fillId="0" borderId="0" xfId="0" applyFont="1" applyBorder="1" applyAlignment="1">
      <alignment vertical="top"/>
    </xf>
    <xf numFmtId="4" fontId="109" fillId="0" borderId="0" xfId="0" applyNumberFormat="1" applyFont="1" applyAlignment="1">
      <alignment horizontal="center" vertical="top" wrapText="1"/>
    </xf>
    <xf numFmtId="0" fontId="124" fillId="0" borderId="0" xfId="0" applyFont="1" applyFill="1" applyBorder="1" applyAlignment="1">
      <alignment horizontal="left" vertical="top" wrapText="1"/>
    </xf>
    <xf numFmtId="0" fontId="124" fillId="0" borderId="0" xfId="0" applyFont="1" applyAlignment="1">
      <alignment horizontal="left" vertical="top" wrapText="1"/>
    </xf>
    <xf numFmtId="0" fontId="124" fillId="0" borderId="0" xfId="0" applyFont="1" applyAlignment="1">
      <alignment horizontal="right" vertical="top" wrapText="1"/>
    </xf>
    <xf numFmtId="0" fontId="127" fillId="0" borderId="0" xfId="0" applyFont="1" applyFill="1" applyAlignment="1">
      <alignment horizontal="center" vertical="center" wrapText="1"/>
    </xf>
    <xf numFmtId="0" fontId="10" fillId="0" borderId="0" xfId="0" applyFont="1" applyFill="1" applyAlignment="1">
      <alignment horizontal="right" vertical="center" wrapText="1"/>
    </xf>
    <xf numFmtId="164" fontId="32" fillId="0" borderId="0" xfId="0" applyNumberFormat="1" applyFont="1" applyFill="1" applyAlignment="1">
      <alignment horizontal="center" vertical="center" wrapText="1"/>
    </xf>
    <xf numFmtId="164" fontId="80" fillId="0" borderId="0" xfId="0" applyNumberFormat="1" applyFont="1" applyFill="1" applyAlignment="1">
      <alignment horizontal="center" vertical="center" wrapText="1"/>
    </xf>
    <xf numFmtId="1" fontId="81" fillId="0" borderId="0" xfId="0" applyNumberFormat="1" applyFont="1" applyFill="1" applyAlignment="1">
      <alignment horizontal="center" vertical="center" wrapText="1"/>
    </xf>
    <xf numFmtId="0" fontId="0" fillId="0" borderId="0" xfId="0" applyFill="1" applyAlignment="1">
      <alignment vertical="center" wrapText="1"/>
    </xf>
    <xf numFmtId="0" fontId="45" fillId="0" borderId="0" xfId="0" applyFont="1" applyFill="1" applyAlignment="1">
      <alignment horizontal="center" vertical="center" wrapText="1"/>
    </xf>
    <xf numFmtId="0" fontId="12" fillId="0" borderId="0" xfId="0" applyFont="1" applyFill="1" applyAlignment="1">
      <alignment horizontal="right" vertical="center" wrapText="1"/>
    </xf>
    <xf numFmtId="0" fontId="61" fillId="0" borderId="0" xfId="0" applyFont="1" applyFill="1" applyAlignment="1">
      <alignment vertical="top" wrapText="1"/>
    </xf>
    <xf numFmtId="0" fontId="82" fillId="0" borderId="0" xfId="0" applyFont="1" applyAlignment="1">
      <alignment horizontal="right" vertical="top" wrapText="1"/>
    </xf>
    <xf numFmtId="0" fontId="112" fillId="0" borderId="2" xfId="0" applyFont="1" applyBorder="1" applyAlignment="1">
      <alignment horizontal="left" vertical="top" wrapText="1"/>
    </xf>
    <xf numFmtId="3" fontId="87" fillId="0" borderId="0" xfId="0" applyNumberFormat="1" applyFont="1" applyFill="1" applyAlignment="1">
      <alignment horizontal="center"/>
    </xf>
    <xf numFmtId="1" fontId="87" fillId="0" borderId="0" xfId="0" applyNumberFormat="1" applyFont="1" applyFill="1" applyAlignment="1">
      <alignment horizontal="center"/>
    </xf>
    <xf numFmtId="3" fontId="110" fillId="0" borderId="0" xfId="0" applyNumberFormat="1" applyFont="1" applyFill="1" applyAlignment="1">
      <alignment vertical="center"/>
    </xf>
    <xf numFmtId="164" fontId="107" fillId="0" borderId="2" xfId="0" applyNumberFormat="1" applyFont="1" applyFill="1" applyBorder="1" applyAlignment="1">
      <alignment horizontal="center" vertical="center"/>
    </xf>
    <xf numFmtId="0" fontId="142" fillId="0" borderId="1" xfId="0" applyFont="1" applyBorder="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horizontal="center" wrapText="1"/>
    </xf>
    <xf numFmtId="0" fontId="13" fillId="0" borderId="0" xfId="0" applyFont="1" applyFill="1" applyAlignment="1">
      <alignment horizontal="center"/>
    </xf>
    <xf numFmtId="0" fontId="103" fillId="0" borderId="0" xfId="0" applyFont="1" applyAlignment="1">
      <alignment vertical="top" wrapText="1"/>
    </xf>
    <xf numFmtId="0" fontId="103" fillId="0" borderId="0" xfId="0" applyFont="1" applyBorder="1" applyAlignment="1">
      <alignment vertical="top" wrapText="1"/>
    </xf>
    <xf numFmtId="0" fontId="103" fillId="0" borderId="0" xfId="0" applyFont="1" applyAlignment="1">
      <alignment horizontal="right" vertical="top" wrapText="1"/>
    </xf>
    <xf numFmtId="0" fontId="0" fillId="0" borderId="0" xfId="0" applyBorder="1" applyAlignment="1">
      <alignment horizontal="right" vertical="top" wrapText="1"/>
    </xf>
    <xf numFmtId="0" fontId="129" fillId="0" borderId="1" xfId="0" applyFont="1" applyBorder="1" applyAlignment="1">
      <alignment vertical="center"/>
    </xf>
    <xf numFmtId="164" fontId="107" fillId="2" borderId="1" xfId="0" applyNumberFormat="1" applyFont="1" applyFill="1" applyBorder="1" applyAlignment="1">
      <alignment horizontal="center" vertical="center"/>
    </xf>
    <xf numFmtId="0" fontId="87" fillId="3" borderId="1" xfId="0" applyFont="1" applyFill="1" applyBorder="1" applyAlignment="1">
      <alignment horizontal="center" vertical="top" wrapText="1"/>
    </xf>
    <xf numFmtId="0" fontId="110" fillId="3" borderId="2" xfId="1" applyFont="1" applyFill="1" applyBorder="1" applyAlignment="1">
      <alignment horizontal="center" vertical="center"/>
    </xf>
    <xf numFmtId="0" fontId="29" fillId="2" borderId="0" xfId="0" applyFont="1" applyFill="1" applyBorder="1" applyAlignment="1">
      <alignment horizontal="center" vertical="top" wrapText="1"/>
    </xf>
    <xf numFmtId="0" fontId="112" fillId="0" borderId="3" xfId="0" applyFont="1" applyBorder="1" applyAlignment="1">
      <alignment horizontal="left" vertical="top" wrapText="1"/>
    </xf>
    <xf numFmtId="164" fontId="80" fillId="2" borderId="0" xfId="0" applyNumberFormat="1" applyFont="1" applyFill="1" applyBorder="1" applyAlignment="1">
      <alignment horizontal="center"/>
    </xf>
    <xf numFmtId="164" fontId="95" fillId="2" borderId="0" xfId="0" applyNumberFormat="1" applyFont="1" applyFill="1" applyBorder="1" applyAlignment="1">
      <alignment horizontal="center"/>
    </xf>
    <xf numFmtId="0" fontId="95" fillId="0" borderId="0" xfId="0" applyFont="1" applyAlignment="1">
      <alignment horizontal="center" vertical="top" wrapText="1"/>
    </xf>
    <xf numFmtId="164" fontId="82" fillId="0" borderId="3" xfId="0" applyNumberFormat="1" applyFont="1" applyBorder="1" applyAlignment="1">
      <alignment horizontal="left" vertical="top" wrapText="1"/>
    </xf>
    <xf numFmtId="164" fontId="80" fillId="2" borderId="0" xfId="0" applyNumberFormat="1" applyFont="1" applyFill="1" applyBorder="1" applyAlignment="1">
      <alignment horizontal="center" vertical="center"/>
    </xf>
    <xf numFmtId="164" fontId="95" fillId="2" borderId="0" xfId="0" applyNumberFormat="1" applyFont="1" applyFill="1" applyBorder="1" applyAlignment="1">
      <alignment horizontal="center" vertical="center"/>
    </xf>
    <xf numFmtId="0" fontId="82" fillId="0" borderId="0" xfId="0" applyFont="1" applyBorder="1" applyAlignment="1">
      <alignment horizontal="left" vertical="top" wrapText="1"/>
    </xf>
    <xf numFmtId="0" fontId="108" fillId="0" borderId="1" xfId="0" applyFont="1" applyBorder="1" applyAlignment="1">
      <alignment horizontal="center" vertical="top" wrapText="1"/>
    </xf>
    <xf numFmtId="0" fontId="0" fillId="0" borderId="1" xfId="0" applyFill="1" applyBorder="1"/>
    <xf numFmtId="0" fontId="44" fillId="0" borderId="1" xfId="0" applyFont="1" applyBorder="1" applyAlignment="1">
      <alignment vertical="top" wrapText="1"/>
    </xf>
    <xf numFmtId="164" fontId="107" fillId="0" borderId="0" xfId="0" applyNumberFormat="1" applyFont="1" applyFill="1" applyBorder="1" applyAlignment="1">
      <alignment horizontal="center" vertical="top" wrapText="1"/>
    </xf>
    <xf numFmtId="164" fontId="107" fillId="0" borderId="2" xfId="0" applyNumberFormat="1" applyFont="1" applyFill="1" applyBorder="1" applyAlignment="1">
      <alignment horizontal="center" vertical="top" wrapText="1"/>
    </xf>
    <xf numFmtId="164" fontId="80" fillId="0" borderId="2" xfId="0" applyNumberFormat="1" applyFont="1" applyFill="1" applyBorder="1" applyAlignment="1">
      <alignment horizontal="center" vertical="top" wrapText="1"/>
    </xf>
    <xf numFmtId="0" fontId="13" fillId="0" borderId="0" xfId="0" applyFont="1" applyAlignment="1">
      <alignment horizontal="center"/>
    </xf>
    <xf numFmtId="0" fontId="97" fillId="0" borderId="0" xfId="0" applyFont="1" applyAlignment="1">
      <alignment horizontal="center"/>
    </xf>
    <xf numFmtId="0" fontId="149" fillId="0" borderId="0" xfId="0" applyFont="1" applyAlignment="1">
      <alignment horizontal="center" vertical="top" wrapText="1"/>
    </xf>
    <xf numFmtId="0" fontId="149" fillId="0" borderId="0" xfId="0" applyFont="1" applyAlignment="1">
      <alignment horizontal="center" vertical="center" wrapText="1"/>
    </xf>
    <xf numFmtId="0" fontId="138" fillId="0" borderId="0" xfId="0" applyFont="1" applyFill="1" applyAlignment="1">
      <alignment horizontal="center"/>
    </xf>
    <xf numFmtId="0" fontId="140" fillId="3" borderId="2" xfId="0" applyFont="1" applyFill="1" applyBorder="1" applyAlignment="1">
      <alignment horizontal="center" vertical="top" wrapText="1"/>
    </xf>
    <xf numFmtId="0" fontId="147" fillId="0" borderId="0" xfId="0" applyFont="1" applyFill="1" applyAlignment="1">
      <alignment horizontal="center" vertical="top" wrapText="1"/>
    </xf>
    <xf numFmtId="0" fontId="153" fillId="0" borderId="0" xfId="0" applyFont="1"/>
    <xf numFmtId="3" fontId="28" fillId="0" borderId="0" xfId="0" applyNumberFormat="1" applyFont="1" applyFill="1" applyAlignment="1">
      <alignment horizontal="center" vertical="center"/>
    </xf>
    <xf numFmtId="0" fontId="157" fillId="0" borderId="0" xfId="0" applyFont="1"/>
    <xf numFmtId="0" fontId="153" fillId="0" borderId="2" xfId="0" applyFont="1" applyBorder="1" applyAlignment="1">
      <alignment horizontal="center" vertical="center"/>
    </xf>
    <xf numFmtId="0" fontId="150" fillId="0" borderId="0" xfId="0" applyFont="1" applyAlignment="1">
      <alignment horizontal="center" vertical="center"/>
    </xf>
    <xf numFmtId="0" fontId="153" fillId="0" borderId="0" xfId="0" applyFont="1" applyAlignment="1">
      <alignment vertical="center"/>
    </xf>
    <xf numFmtId="164" fontId="160" fillId="0" borderId="0" xfId="0" applyNumberFormat="1" applyFont="1" applyAlignment="1">
      <alignment vertical="center"/>
    </xf>
    <xf numFmtId="0" fontId="156" fillId="0" borderId="0" xfId="0" applyFont="1" applyAlignment="1">
      <alignment horizontal="center"/>
    </xf>
    <xf numFmtId="0" fontId="156" fillId="0" borderId="2" xfId="0" applyFont="1" applyBorder="1" applyAlignment="1">
      <alignment horizontal="center"/>
    </xf>
    <xf numFmtId="164" fontId="163" fillId="0" borderId="0" xfId="0" applyNumberFormat="1" applyFont="1" applyAlignment="1">
      <alignment horizontal="center"/>
    </xf>
    <xf numFmtId="0" fontId="161" fillId="0" borderId="0" xfId="0" applyFont="1" applyAlignment="1">
      <alignment horizontal="center" vertical="top" wrapText="1"/>
    </xf>
    <xf numFmtId="0" fontId="157" fillId="0" borderId="0" xfId="0" applyFont="1" applyAlignment="1">
      <alignment horizontal="center"/>
    </xf>
    <xf numFmtId="0" fontId="34" fillId="0" borderId="1" xfId="0" applyFont="1" applyFill="1" applyBorder="1" applyAlignment="1">
      <alignment horizontal="center" vertical="top" wrapText="1"/>
    </xf>
    <xf numFmtId="0" fontId="165" fillId="0" borderId="0" xfId="0" applyFont="1" applyAlignment="1">
      <alignment horizontal="center"/>
    </xf>
    <xf numFmtId="164" fontId="165" fillId="0" borderId="0" xfId="0" applyNumberFormat="1" applyFont="1" applyAlignment="1">
      <alignment horizontal="center"/>
    </xf>
    <xf numFmtId="164" fontId="155" fillId="0" borderId="0" xfId="0" applyNumberFormat="1" applyFont="1" applyAlignment="1">
      <alignment horizontal="center"/>
    </xf>
    <xf numFmtId="0" fontId="166" fillId="0" borderId="0" xfId="0" applyFont="1" applyAlignment="1">
      <alignment horizontal="center"/>
    </xf>
    <xf numFmtId="0" fontId="157" fillId="0" borderId="0" xfId="0" applyFont="1" applyAlignment="1">
      <alignment horizontal="right"/>
    </xf>
    <xf numFmtId="3" fontId="166" fillId="0" borderId="0" xfId="0" applyNumberFormat="1" applyFont="1" applyAlignment="1">
      <alignment horizontal="center"/>
    </xf>
    <xf numFmtId="0" fontId="166" fillId="0" borderId="1" xfId="0" applyFont="1" applyBorder="1" applyAlignment="1">
      <alignment horizontal="center"/>
    </xf>
    <xf numFmtId="0" fontId="165" fillId="0" borderId="1" xfId="0" applyFont="1" applyBorder="1" applyAlignment="1">
      <alignment horizontal="center"/>
    </xf>
    <xf numFmtId="0" fontId="165" fillId="0" borderId="2" xfId="0" applyFont="1" applyBorder="1" applyAlignment="1">
      <alignment horizontal="center"/>
    </xf>
    <xf numFmtId="0" fontId="38" fillId="0" borderId="2" xfId="0" applyFont="1" applyFill="1" applyBorder="1" applyAlignment="1">
      <alignment vertical="top" wrapText="1"/>
    </xf>
    <xf numFmtId="164" fontId="155" fillId="0" borderId="2" xfId="0" applyNumberFormat="1" applyFont="1" applyBorder="1" applyAlignment="1">
      <alignment horizontal="center"/>
    </xf>
    <xf numFmtId="0" fontId="165" fillId="4" borderId="0" xfId="0" applyFont="1" applyFill="1" applyAlignment="1">
      <alignment horizontal="center"/>
    </xf>
    <xf numFmtId="0" fontId="0" fillId="4" borderId="0" xfId="0" applyFill="1"/>
    <xf numFmtId="0" fontId="159" fillId="8" borderId="0" xfId="0" applyFont="1" applyFill="1" applyAlignment="1">
      <alignment vertical="center"/>
    </xf>
    <xf numFmtId="0" fontId="162" fillId="8" borderId="0" xfId="0" applyFont="1" applyFill="1" applyAlignment="1">
      <alignment horizontal="center"/>
    </xf>
    <xf numFmtId="0" fontId="159" fillId="8" borderId="0" xfId="0" applyFont="1" applyFill="1"/>
    <xf numFmtId="0" fontId="164" fillId="0" borderId="0" xfId="0" applyFont="1" applyAlignment="1">
      <alignment horizontal="left" vertical="top" wrapText="1"/>
    </xf>
    <xf numFmtId="0" fontId="157" fillId="0" borderId="0" xfId="0" applyFont="1" applyFill="1" applyBorder="1" applyAlignment="1">
      <alignment horizontal="right"/>
    </xf>
    <xf numFmtId="0" fontId="165" fillId="0" borderId="0" xfId="0" applyFont="1" applyFill="1" applyAlignment="1">
      <alignment horizontal="center"/>
    </xf>
    <xf numFmtId="0" fontId="166" fillId="0" borderId="0" xfId="0" applyFont="1" applyBorder="1" applyAlignment="1">
      <alignment horizontal="center"/>
    </xf>
    <xf numFmtId="0" fontId="165" fillId="0" borderId="0" xfId="0" applyFont="1" applyBorder="1" applyAlignment="1">
      <alignment horizontal="center"/>
    </xf>
    <xf numFmtId="0" fontId="164" fillId="0" borderId="0" xfId="0" applyFont="1" applyBorder="1" applyAlignment="1">
      <alignment horizontal="left" vertical="top" wrapText="1"/>
    </xf>
    <xf numFmtId="3" fontId="166" fillId="0" borderId="0" xfId="0" applyNumberFormat="1" applyFont="1" applyBorder="1" applyAlignment="1">
      <alignment horizontal="center"/>
    </xf>
    <xf numFmtId="0" fontId="168" fillId="0" borderId="0" xfId="0" applyFont="1" applyBorder="1" applyAlignment="1">
      <alignment vertical="top" wrapText="1"/>
    </xf>
    <xf numFmtId="0" fontId="165" fillId="0" borderId="3" xfId="0" applyFont="1" applyBorder="1" applyAlignment="1">
      <alignment horizontal="center"/>
    </xf>
    <xf numFmtId="0" fontId="165" fillId="0" borderId="1" xfId="0" applyFont="1" applyFill="1" applyBorder="1" applyAlignment="1">
      <alignment horizontal="center"/>
    </xf>
    <xf numFmtId="3" fontId="157" fillId="3" borderId="0" xfId="0" applyNumberFormat="1" applyFont="1" applyFill="1" applyAlignment="1">
      <alignment horizontal="center"/>
    </xf>
    <xf numFmtId="3" fontId="157" fillId="3" borderId="2" xfId="0" applyNumberFormat="1" applyFont="1" applyFill="1" applyBorder="1" applyAlignment="1">
      <alignment horizontal="center"/>
    </xf>
    <xf numFmtId="3" fontId="158" fillId="3" borderId="2" xfId="0" applyNumberFormat="1" applyFont="1" applyFill="1" applyBorder="1" applyAlignment="1">
      <alignment horizontal="center"/>
    </xf>
    <xf numFmtId="164" fontId="154" fillId="2" borderId="0" xfId="0" applyNumberFormat="1" applyFont="1" applyFill="1" applyAlignment="1">
      <alignment horizontal="center"/>
    </xf>
    <xf numFmtId="164" fontId="154" fillId="2" borderId="2" xfId="0" applyNumberFormat="1" applyFont="1" applyFill="1" applyBorder="1" applyAlignment="1">
      <alignment horizontal="center"/>
    </xf>
    <xf numFmtId="164" fontId="154" fillId="2" borderId="1" xfId="0" applyNumberFormat="1" applyFont="1" applyFill="1" applyBorder="1" applyAlignment="1">
      <alignment horizontal="center"/>
    </xf>
    <xf numFmtId="0" fontId="22" fillId="9" borderId="0" xfId="0" applyFont="1" applyFill="1" applyAlignment="1">
      <alignment horizontal="left" vertical="center" wrapText="1"/>
    </xf>
    <xf numFmtId="0" fontId="23" fillId="0" borderId="0" xfId="0" applyFont="1" applyFill="1" applyAlignment="1">
      <alignment horizontal="right"/>
    </xf>
    <xf numFmtId="0" fontId="116" fillId="0" borderId="0" xfId="0" applyFont="1" applyFill="1" applyAlignment="1">
      <alignment horizontal="right"/>
    </xf>
    <xf numFmtId="0" fontId="172" fillId="0" borderId="0" xfId="0" applyFont="1" applyAlignment="1">
      <alignment horizontal="left" vertical="top" wrapText="1"/>
    </xf>
    <xf numFmtId="3" fontId="157" fillId="3" borderId="1" xfId="0" applyNumberFormat="1" applyFont="1" applyFill="1" applyBorder="1" applyAlignment="1">
      <alignment horizontal="center"/>
    </xf>
    <xf numFmtId="164" fontId="0" fillId="0" borderId="0" xfId="0" applyNumberFormat="1" applyFill="1"/>
    <xf numFmtId="164" fontId="0" fillId="0" borderId="0" xfId="0" applyNumberFormat="1"/>
    <xf numFmtId="164" fontId="0" fillId="0" borderId="0" xfId="0" applyNumberFormat="1" applyAlignment="1">
      <alignment vertical="top" wrapText="1"/>
    </xf>
    <xf numFmtId="3" fontId="5" fillId="0" borderId="0" xfId="0" applyNumberFormat="1" applyFont="1" applyAlignment="1">
      <alignment vertical="top"/>
    </xf>
    <xf numFmtId="1" fontId="0" fillId="0" borderId="0" xfId="0" applyNumberFormat="1" applyFill="1"/>
    <xf numFmtId="0" fontId="174" fillId="4" borderId="0" xfId="0" applyFont="1" applyFill="1" applyAlignment="1">
      <alignment horizontal="center" vertical="center"/>
    </xf>
    <xf numFmtId="0" fontId="174" fillId="0" borderId="0" xfId="0" applyFont="1" applyAlignment="1">
      <alignment vertical="center"/>
    </xf>
    <xf numFmtId="0" fontId="161" fillId="0" borderId="1" xfId="0" applyFont="1" applyBorder="1" applyAlignment="1">
      <alignment horizontal="center" vertical="top" wrapText="1"/>
    </xf>
    <xf numFmtId="0" fontId="157" fillId="0" borderId="0" xfId="0" applyFont="1" applyFill="1" applyAlignment="1">
      <alignment horizontal="right"/>
    </xf>
    <xf numFmtId="0" fontId="43" fillId="0" borderId="0" xfId="0" applyFont="1" applyAlignment="1">
      <alignment horizontal="left" vertical="top" wrapText="1"/>
    </xf>
    <xf numFmtId="164" fontId="100" fillId="0" borderId="1" xfId="0" applyNumberFormat="1" applyFont="1" applyBorder="1" applyAlignment="1">
      <alignment horizontal="left" vertical="top" wrapText="1"/>
    </xf>
    <xf numFmtId="164" fontId="154" fillId="11" borderId="2" xfId="0" applyNumberFormat="1" applyFont="1" applyFill="1" applyBorder="1" applyAlignment="1">
      <alignment horizontal="center"/>
    </xf>
    <xf numFmtId="0" fontId="29" fillId="11" borderId="0" xfId="0" applyFont="1" applyFill="1" applyBorder="1" applyAlignment="1">
      <alignment horizontal="center" vertical="top" wrapText="1"/>
    </xf>
    <xf numFmtId="164" fontId="154" fillId="11" borderId="0" xfId="0" applyNumberFormat="1" applyFont="1" applyFill="1" applyAlignment="1">
      <alignment horizontal="center"/>
    </xf>
    <xf numFmtId="0" fontId="29" fillId="11" borderId="1" xfId="0" applyFont="1" applyFill="1" applyBorder="1" applyAlignment="1">
      <alignment horizontal="center" vertical="top" wrapText="1"/>
    </xf>
    <xf numFmtId="164" fontId="80" fillId="11" borderId="1" xfId="0" applyNumberFormat="1" applyFont="1" applyFill="1" applyBorder="1" applyAlignment="1">
      <alignment horizontal="center" vertical="center"/>
    </xf>
    <xf numFmtId="164" fontId="7" fillId="11" borderId="2" xfId="0" applyNumberFormat="1" applyFont="1" applyFill="1" applyBorder="1" applyAlignment="1">
      <alignment horizontal="center" vertical="center"/>
    </xf>
    <xf numFmtId="164" fontId="107" fillId="11" borderId="1" xfId="0" applyNumberFormat="1" applyFont="1" applyFill="1" applyBorder="1" applyAlignment="1">
      <alignment horizontal="center" vertical="center"/>
    </xf>
    <xf numFmtId="164" fontId="95" fillId="11" borderId="2" xfId="0" applyNumberFormat="1" applyFont="1" applyFill="1" applyBorder="1" applyAlignment="1">
      <alignment horizontal="center" vertical="center"/>
    </xf>
    <xf numFmtId="164" fontId="85" fillId="11" borderId="1" xfId="0" applyNumberFormat="1" applyFont="1" applyFill="1" applyBorder="1" applyAlignment="1">
      <alignment horizontal="center" vertical="center"/>
    </xf>
    <xf numFmtId="164" fontId="32" fillId="11" borderId="1" xfId="0" applyNumberFormat="1" applyFont="1" applyFill="1" applyBorder="1" applyAlignment="1">
      <alignment horizontal="center"/>
    </xf>
    <xf numFmtId="164" fontId="7" fillId="11" borderId="2" xfId="0" applyNumberFormat="1" applyFont="1" applyFill="1" applyBorder="1" applyAlignment="1">
      <alignment horizontal="center"/>
    </xf>
    <xf numFmtId="164" fontId="119" fillId="11" borderId="2" xfId="0" applyNumberFormat="1" applyFont="1" applyFill="1" applyBorder="1" applyAlignment="1">
      <alignment horizontal="center" vertical="center"/>
    </xf>
    <xf numFmtId="164" fontId="80" fillId="11" borderId="0" xfId="0" applyNumberFormat="1" applyFont="1" applyFill="1" applyBorder="1" applyAlignment="1">
      <alignment horizontal="center" vertical="center"/>
    </xf>
    <xf numFmtId="164" fontId="95" fillId="11" borderId="0" xfId="0" applyNumberFormat="1" applyFont="1" applyFill="1" applyBorder="1" applyAlignment="1">
      <alignment horizontal="center" vertical="center"/>
    </xf>
    <xf numFmtId="164" fontId="7" fillId="11" borderId="0" xfId="0" applyNumberFormat="1" applyFont="1" applyFill="1" applyBorder="1" applyAlignment="1">
      <alignment horizontal="center" vertical="center"/>
    </xf>
    <xf numFmtId="0" fontId="97" fillId="0" borderId="0" xfId="0" applyFont="1" applyAlignment="1">
      <alignment horizontal="center" vertical="top" wrapText="1"/>
    </xf>
    <xf numFmtId="0" fontId="10" fillId="0" borderId="0" xfId="0" applyFont="1" applyFill="1" applyAlignment="1">
      <alignment horizontal="center"/>
    </xf>
    <xf numFmtId="0" fontId="15" fillId="0" borderId="0" xfId="0" applyFont="1" applyFill="1" applyAlignment="1">
      <alignment horizontal="center" vertical="center" wrapText="1"/>
    </xf>
    <xf numFmtId="1" fontId="28" fillId="0" borderId="0" xfId="0" applyNumberFormat="1" applyFont="1" applyFill="1" applyAlignment="1">
      <alignment horizontal="center" vertical="center" wrapText="1"/>
    </xf>
    <xf numFmtId="0" fontId="175" fillId="0" borderId="0" xfId="0" applyFont="1" applyFill="1" applyAlignment="1">
      <alignment horizontal="right" vertical="center"/>
    </xf>
    <xf numFmtId="0" fontId="10" fillId="0" borderId="0" xfId="0" applyFont="1" applyFill="1" applyAlignment="1">
      <alignment horizontal="center" vertical="center"/>
    </xf>
    <xf numFmtId="0" fontId="87" fillId="3" borderId="1" xfId="0" applyFont="1" applyFill="1" applyBorder="1" applyAlignment="1">
      <alignment horizontal="center" vertical="center"/>
    </xf>
    <xf numFmtId="0" fontId="122" fillId="3" borderId="2" xfId="0" applyFont="1" applyFill="1" applyBorder="1" applyAlignment="1">
      <alignment horizontal="center" vertical="center"/>
    </xf>
    <xf numFmtId="164" fontId="32" fillId="11" borderId="1" xfId="0" applyNumberFormat="1" applyFont="1" applyFill="1" applyBorder="1" applyAlignment="1">
      <alignment horizontal="center" vertical="center"/>
    </xf>
    <xf numFmtId="0" fontId="0" fillId="0" borderId="0" xfId="0" applyAlignment="1">
      <alignment horizontal="center" vertical="center"/>
    </xf>
    <xf numFmtId="3" fontId="87" fillId="3" borderId="1" xfId="0" applyNumberFormat="1" applyFont="1" applyFill="1" applyBorder="1" applyAlignment="1">
      <alignment horizontal="center" vertical="center"/>
    </xf>
    <xf numFmtId="164" fontId="143" fillId="11" borderId="1" xfId="0" applyNumberFormat="1" applyFont="1" applyFill="1" applyBorder="1" applyAlignment="1">
      <alignment horizontal="center" vertical="center"/>
    </xf>
    <xf numFmtId="164" fontId="144" fillId="11" borderId="2" xfId="0" applyNumberFormat="1" applyFont="1" applyFill="1" applyBorder="1" applyAlignment="1">
      <alignment horizontal="center" vertical="center"/>
    </xf>
    <xf numFmtId="164" fontId="143" fillId="2" borderId="1" xfId="0" applyNumberFormat="1" applyFont="1" applyFill="1" applyBorder="1" applyAlignment="1">
      <alignment horizontal="center" vertical="center"/>
    </xf>
    <xf numFmtId="164" fontId="144" fillId="2" borderId="2" xfId="0" applyNumberFormat="1" applyFont="1" applyFill="1" applyBorder="1" applyAlignment="1">
      <alignment horizontal="center" vertical="center"/>
    </xf>
    <xf numFmtId="164" fontId="143" fillId="0" borderId="0" xfId="0" applyNumberFormat="1" applyFont="1" applyFill="1" applyAlignment="1">
      <alignment horizontal="center" vertical="center"/>
    </xf>
    <xf numFmtId="0" fontId="114" fillId="0" borderId="0" xfId="0" applyFont="1" applyFill="1" applyAlignment="1">
      <alignment vertical="center"/>
    </xf>
    <xf numFmtId="3" fontId="145" fillId="0" borderId="0" xfId="0" applyNumberFormat="1" applyFont="1" applyFill="1" applyAlignment="1">
      <alignment horizontal="center" vertical="center"/>
    </xf>
    <xf numFmtId="0" fontId="39" fillId="0" borderId="2" xfId="0" applyFont="1" applyBorder="1" applyAlignment="1">
      <alignment vertical="top" wrapText="1"/>
    </xf>
    <xf numFmtId="164" fontId="32" fillId="0" borderId="2" xfId="0" applyNumberFormat="1" applyFont="1" applyFill="1" applyBorder="1" applyAlignment="1">
      <alignment horizontal="center" vertical="top" wrapText="1"/>
    </xf>
    <xf numFmtId="0" fontId="176" fillId="0" borderId="0" xfId="0" applyFont="1" applyAlignment="1">
      <alignment vertical="top" wrapText="1"/>
    </xf>
    <xf numFmtId="0" fontId="124" fillId="0" borderId="0" xfId="0" applyFont="1" applyFill="1" applyBorder="1" applyAlignment="1">
      <alignment vertical="top" wrapText="1"/>
    </xf>
    <xf numFmtId="0" fontId="39" fillId="0" borderId="0" xfId="2" applyFont="1" applyAlignment="1">
      <alignment vertical="top" wrapText="1"/>
    </xf>
    <xf numFmtId="0" fontId="39" fillId="0" borderId="0" xfId="0" applyFont="1" applyAlignment="1">
      <alignment vertical="top" wrapText="1"/>
    </xf>
    <xf numFmtId="0" fontId="15" fillId="0" borderId="1" xfId="0" applyFont="1" applyFill="1" applyBorder="1" applyAlignment="1">
      <alignment horizontal="center"/>
    </xf>
    <xf numFmtId="164" fontId="59" fillId="0" borderId="0" xfId="0" applyNumberFormat="1" applyFont="1" applyAlignment="1">
      <alignment vertical="top" wrapText="1"/>
    </xf>
    <xf numFmtId="164" fontId="59" fillId="0" borderId="0" xfId="0" applyNumberFormat="1" applyFont="1" applyFill="1" applyAlignment="1">
      <alignment vertical="top" wrapText="1"/>
    </xf>
    <xf numFmtId="0" fontId="103" fillId="0" borderId="0" xfId="0" applyFont="1" applyFill="1" applyAlignment="1">
      <alignment vertical="top" wrapText="1"/>
    </xf>
    <xf numFmtId="0" fontId="33" fillId="0" borderId="0" xfId="0" applyFont="1" applyFill="1" applyAlignment="1">
      <alignment vertical="top" wrapText="1"/>
    </xf>
    <xf numFmtId="0" fontId="29" fillId="0" borderId="0" xfId="0" applyFont="1" applyFill="1" applyAlignment="1">
      <alignment vertical="top" wrapText="1"/>
    </xf>
    <xf numFmtId="0" fontId="73" fillId="0" borderId="0" xfId="0" applyFont="1" applyFill="1" applyAlignment="1">
      <alignment horizontal="left" vertical="top" wrapText="1"/>
    </xf>
    <xf numFmtId="0" fontId="73" fillId="0" borderId="0" xfId="0" applyFont="1" applyAlignment="1">
      <alignment horizontal="left" vertical="top" wrapText="1"/>
    </xf>
    <xf numFmtId="0" fontId="178" fillId="4" borderId="0" xfId="0" applyFont="1" applyFill="1"/>
    <xf numFmtId="0" fontId="181" fillId="4" borderId="0" xfId="0" applyFont="1" applyFill="1"/>
    <xf numFmtId="0" fontId="22" fillId="0" borderId="0" xfId="0" applyFont="1" applyFill="1" applyAlignment="1">
      <alignment horizontal="left" vertical="center" wrapText="1"/>
    </xf>
    <xf numFmtId="0" fontId="183" fillId="0" borderId="0" xfId="0" applyFont="1" applyAlignment="1">
      <alignment horizontal="center" vertical="center"/>
    </xf>
    <xf numFmtId="0" fontId="103" fillId="0" borderId="0" xfId="0" applyFont="1" applyFill="1" applyAlignment="1">
      <alignment wrapText="1"/>
    </xf>
    <xf numFmtId="0" fontId="182" fillId="0" borderId="0" xfId="0" applyFont="1" applyFill="1" applyAlignment="1">
      <alignment horizontal="left" vertical="center" wrapText="1"/>
    </xf>
    <xf numFmtId="0" fontId="184" fillId="0" borderId="0" xfId="0" applyFont="1" applyAlignment="1">
      <alignment horizontal="left" vertical="top" wrapText="1"/>
    </xf>
    <xf numFmtId="0" fontId="185" fillId="0" borderId="0" xfId="0" applyFont="1" applyAlignment="1">
      <alignment horizontal="left" vertical="top" wrapText="1"/>
    </xf>
    <xf numFmtId="0" fontId="184" fillId="0" borderId="0" xfId="0" applyFont="1" applyAlignment="1">
      <alignment vertical="top" wrapText="1"/>
    </xf>
    <xf numFmtId="0" fontId="186" fillId="0" borderId="0" xfId="0" applyFont="1" applyAlignment="1">
      <alignment vertical="top" wrapText="1"/>
    </xf>
    <xf numFmtId="1" fontId="12" fillId="0" borderId="0" xfId="0" applyNumberFormat="1" applyFont="1" applyFill="1" applyAlignment="1">
      <alignment horizontal="right"/>
    </xf>
    <xf numFmtId="0" fontId="187" fillId="0" borderId="0" xfId="0" applyFont="1" applyAlignment="1">
      <alignment vertical="top" wrapText="1"/>
    </xf>
    <xf numFmtId="0" fontId="188" fillId="0" borderId="0" xfId="0" applyFont="1" applyAlignment="1">
      <alignment horizontal="center"/>
    </xf>
    <xf numFmtId="0" fontId="152" fillId="4" borderId="0" xfId="0" applyFont="1" applyFill="1" applyBorder="1" applyAlignment="1">
      <alignment horizontal="center" vertical="center"/>
    </xf>
    <xf numFmtId="0" fontId="187" fillId="0" borderId="0" xfId="0" applyFont="1" applyBorder="1" applyAlignment="1">
      <alignment horizontal="right" vertical="top" wrapText="1"/>
    </xf>
    <xf numFmtId="0" fontId="184" fillId="0" borderId="0" xfId="0" applyFont="1" applyBorder="1" applyAlignment="1">
      <alignment vertical="top" wrapText="1"/>
    </xf>
    <xf numFmtId="166" fontId="192" fillId="0" borderId="0" xfId="0" applyNumberFormat="1" applyFont="1" applyFill="1" applyAlignment="1">
      <alignment horizontal="center"/>
    </xf>
    <xf numFmtId="164" fontId="192" fillId="0" borderId="2" xfId="0" applyNumberFormat="1" applyFont="1" applyFill="1" applyBorder="1" applyAlignment="1">
      <alignment horizontal="center" vertical="center"/>
    </xf>
    <xf numFmtId="0" fontId="117" fillId="0" borderId="0" xfId="0" applyFont="1" applyFill="1" applyAlignment="1">
      <alignment vertical="top" wrapText="1"/>
    </xf>
    <xf numFmtId="0" fontId="13" fillId="0" borderId="0" xfId="0" applyFont="1" applyFill="1"/>
    <xf numFmtId="0" fontId="190" fillId="0" borderId="0" xfId="0" applyFont="1" applyFill="1"/>
    <xf numFmtId="0" fontId="190" fillId="0" borderId="0" xfId="0" applyFont="1" applyFill="1" applyAlignment="1">
      <alignment vertical="center"/>
    </xf>
    <xf numFmtId="0" fontId="194" fillId="0" borderId="0" xfId="0" applyFont="1" applyFill="1" applyAlignment="1">
      <alignment horizontal="center" vertical="center"/>
    </xf>
    <xf numFmtId="0" fontId="192" fillId="0" borderId="0" xfId="0" applyFont="1" applyFill="1" applyAlignment="1">
      <alignment horizontal="center"/>
    </xf>
    <xf numFmtId="0" fontId="195" fillId="0" borderId="0" xfId="0" applyFont="1" applyFill="1"/>
    <xf numFmtId="0" fontId="195" fillId="0" borderId="0" xfId="0" applyFont="1" applyAlignment="1">
      <alignment vertical="top"/>
    </xf>
    <xf numFmtId="0" fontId="195" fillId="0" borderId="0" xfId="0" applyFont="1" applyFill="1" applyAlignment="1">
      <alignment vertical="center"/>
    </xf>
    <xf numFmtId="0" fontId="196" fillId="0" borderId="0" xfId="0" applyFont="1" applyFill="1" applyAlignment="1">
      <alignment horizontal="center" vertical="center"/>
    </xf>
    <xf numFmtId="0" fontId="197" fillId="0" borderId="0" xfId="0" applyFont="1" applyFill="1" applyAlignment="1">
      <alignment horizontal="center"/>
    </xf>
    <xf numFmtId="0" fontId="97" fillId="0" borderId="0" xfId="0" applyFont="1" applyFill="1" applyAlignment="1">
      <alignment horizontal="center"/>
    </xf>
    <xf numFmtId="0" fontId="97" fillId="0" borderId="0" xfId="0" applyFont="1" applyFill="1" applyAlignment="1">
      <alignment horizontal="center" vertical="center"/>
    </xf>
    <xf numFmtId="0" fontId="5" fillId="0" borderId="0" xfId="0" applyFont="1" applyFill="1"/>
    <xf numFmtId="0" fontId="23" fillId="10" borderId="2" xfId="0" applyFont="1" applyFill="1" applyBorder="1" applyAlignment="1">
      <alignment horizontal="center" vertical="top" wrapText="1"/>
    </xf>
    <xf numFmtId="0" fontId="29" fillId="2" borderId="2" xfId="0" applyFont="1" applyFill="1" applyBorder="1" applyAlignment="1">
      <alignment horizontal="center" vertical="top" wrapText="1"/>
    </xf>
    <xf numFmtId="0" fontId="208" fillId="0" borderId="0" xfId="0" applyFont="1" applyFill="1" applyBorder="1" applyAlignment="1">
      <alignment vertical="top" wrapText="1"/>
    </xf>
    <xf numFmtId="0" fontId="34" fillId="3" borderId="1" xfId="0" applyFont="1" applyFill="1" applyBorder="1" applyAlignment="1">
      <alignment horizontal="center" vertical="top" wrapText="1"/>
    </xf>
    <xf numFmtId="0" fontId="0" fillId="0" borderId="0" xfId="0" applyFill="1" applyBorder="1" applyAlignment="1">
      <alignment vertical="top" wrapText="1"/>
    </xf>
    <xf numFmtId="0" fontId="59" fillId="0" borderId="0" xfId="0" applyFont="1" applyAlignment="1">
      <alignment horizontal="left" vertical="top" wrapText="1"/>
    </xf>
    <xf numFmtId="0" fontId="29" fillId="5" borderId="1" xfId="0" applyFont="1" applyFill="1" applyBorder="1" applyAlignment="1">
      <alignment horizontal="center" vertical="top" wrapText="1"/>
    </xf>
    <xf numFmtId="0" fontId="61" fillId="0" borderId="0" xfId="0" applyFont="1" applyFill="1" applyAlignment="1">
      <alignment horizontal="right" vertical="top" wrapText="1"/>
    </xf>
    <xf numFmtId="0" fontId="206" fillId="0" borderId="1" xfId="0" applyFont="1" applyFill="1" applyBorder="1" applyAlignment="1">
      <alignment horizontal="center" vertical="center"/>
    </xf>
    <xf numFmtId="0" fontId="206" fillId="0" borderId="1" xfId="0" applyFont="1" applyBorder="1" applyAlignment="1">
      <alignment horizontal="center" vertical="center"/>
    </xf>
    <xf numFmtId="0" fontId="206" fillId="0" borderId="1" xfId="1" applyFont="1" applyFill="1" applyBorder="1" applyAlignment="1">
      <alignment horizontal="center" vertical="top" wrapText="1"/>
    </xf>
    <xf numFmtId="3" fontId="206" fillId="3" borderId="1" xfId="0" applyNumberFormat="1" applyFont="1" applyFill="1" applyBorder="1" applyAlignment="1">
      <alignment horizontal="center" vertical="center"/>
    </xf>
    <xf numFmtId="0" fontId="209" fillId="3" borderId="0" xfId="0" applyFont="1" applyFill="1" applyBorder="1" applyAlignment="1">
      <alignment horizontal="center" vertical="center"/>
    </xf>
    <xf numFmtId="0" fontId="208" fillId="0" borderId="1" xfId="0" applyFont="1" applyFill="1" applyBorder="1" applyAlignment="1">
      <alignment horizontal="center" vertical="top" wrapText="1"/>
    </xf>
    <xf numFmtId="1" fontId="206" fillId="0" borderId="1" xfId="0" applyNumberFormat="1" applyFont="1" applyFill="1" applyBorder="1" applyAlignment="1">
      <alignment horizontal="center" vertical="center"/>
    </xf>
    <xf numFmtId="0" fontId="124" fillId="0" borderId="0" xfId="0" applyFont="1" applyFill="1" applyBorder="1" applyAlignment="1">
      <alignment horizontal="right" vertical="top" wrapText="1"/>
    </xf>
    <xf numFmtId="0" fontId="41" fillId="0" borderId="0" xfId="0" applyFont="1" applyFill="1" applyBorder="1" applyAlignment="1">
      <alignment horizontal="center" vertical="top" wrapText="1"/>
    </xf>
    <xf numFmtId="0" fontId="211" fillId="0" borderId="0" xfId="0" applyFont="1" applyFill="1" applyAlignment="1">
      <alignment horizontal="center" vertical="top" wrapText="1"/>
    </xf>
    <xf numFmtId="0" fontId="212" fillId="0" borderId="0" xfId="0" applyFont="1" applyFill="1" applyBorder="1" applyAlignment="1">
      <alignment horizontal="center" vertical="top" wrapText="1"/>
    </xf>
    <xf numFmtId="164" fontId="213" fillId="0" borderId="0" xfId="0" applyNumberFormat="1" applyFont="1" applyFill="1" applyBorder="1" applyAlignment="1">
      <alignment horizontal="center"/>
    </xf>
    <xf numFmtId="0" fontId="61" fillId="0" borderId="0" xfId="0" applyFont="1" applyFill="1" applyAlignment="1">
      <alignment horizontal="left" vertical="top" wrapText="1"/>
    </xf>
    <xf numFmtId="164" fontId="215" fillId="0" borderId="0" xfId="0" applyNumberFormat="1" applyFont="1" applyFill="1" applyAlignment="1">
      <alignment horizontal="center" vertical="top" wrapText="1"/>
    </xf>
    <xf numFmtId="0" fontId="212" fillId="0" borderId="1" xfId="0" applyFont="1" applyFill="1" applyBorder="1" applyAlignment="1">
      <alignment horizontal="center" vertical="top" wrapText="1"/>
    </xf>
    <xf numFmtId="0" fontId="212" fillId="0" borderId="2" xfId="0" applyFont="1" applyFill="1" applyBorder="1" applyAlignment="1">
      <alignment horizontal="center" vertical="top" wrapText="1"/>
    </xf>
    <xf numFmtId="164" fontId="217" fillId="0" borderId="0" xfId="0" applyNumberFormat="1" applyFont="1" applyBorder="1" applyAlignment="1">
      <alignment horizontal="center" vertical="center"/>
    </xf>
    <xf numFmtId="164" fontId="217" fillId="0" borderId="0" xfId="0" applyNumberFormat="1" applyFont="1" applyFill="1" applyBorder="1" applyAlignment="1">
      <alignment horizontal="center" vertical="center"/>
    </xf>
    <xf numFmtId="164" fontId="213" fillId="0" borderId="2" xfId="0" applyNumberFormat="1" applyFont="1" applyFill="1" applyBorder="1" applyAlignment="1">
      <alignment horizontal="center"/>
    </xf>
    <xf numFmtId="0" fontId="0" fillId="0" borderId="1" xfId="0" applyFill="1" applyBorder="1" applyAlignment="1">
      <alignment horizontal="center" vertical="top" wrapText="1"/>
    </xf>
    <xf numFmtId="0" fontId="0" fillId="0" borderId="1" xfId="0" applyFill="1" applyBorder="1" applyAlignment="1">
      <alignment horizontal="left" vertical="top" wrapText="1"/>
    </xf>
    <xf numFmtId="164" fontId="32" fillId="0" borderId="0" xfId="0" applyNumberFormat="1" applyFont="1" applyFill="1" applyBorder="1" applyAlignment="1">
      <alignment horizontal="center" vertical="center" wrapText="1"/>
    </xf>
    <xf numFmtId="0" fontId="0" fillId="0" borderId="1" xfId="0" applyFill="1" applyBorder="1" applyAlignment="1">
      <alignment vertical="top" wrapText="1"/>
    </xf>
    <xf numFmtId="0" fontId="211" fillId="0" borderId="1" xfId="0" applyFont="1" applyFill="1" applyBorder="1" applyAlignment="1">
      <alignment horizontal="center" vertical="top" wrapText="1"/>
    </xf>
    <xf numFmtId="164" fontId="15" fillId="0" borderId="3" xfId="0" applyNumberFormat="1" applyFont="1" applyFill="1" applyBorder="1" applyAlignment="1">
      <alignment horizontal="center"/>
    </xf>
    <xf numFmtId="1" fontId="211" fillId="0" borderId="0" xfId="0" applyNumberFormat="1" applyFont="1" applyFill="1" applyAlignment="1">
      <alignment horizontal="center" vertical="top" wrapText="1"/>
    </xf>
    <xf numFmtId="3" fontId="212" fillId="0" borderId="0" xfId="0" applyNumberFormat="1" applyFont="1" applyFill="1" applyBorder="1" applyAlignment="1">
      <alignment horizontal="center" vertical="top" wrapText="1"/>
    </xf>
    <xf numFmtId="164" fontId="229" fillId="0" borderId="0" xfId="0" applyNumberFormat="1" applyFont="1" applyFill="1" applyBorder="1" applyAlignment="1">
      <alignment horizontal="right" vertical="top" wrapText="1"/>
    </xf>
    <xf numFmtId="0" fontId="72" fillId="0" borderId="0" xfId="0" applyFont="1"/>
    <xf numFmtId="0" fontId="72" fillId="0" borderId="0" xfId="0" applyFont="1" applyFill="1"/>
    <xf numFmtId="4" fontId="72" fillId="0" borderId="0" xfId="0" applyNumberFormat="1" applyFont="1"/>
    <xf numFmtId="0" fontId="72" fillId="0" borderId="0" xfId="0" applyFont="1" applyAlignment="1">
      <alignment horizontal="center"/>
    </xf>
    <xf numFmtId="166" fontId="217" fillId="0" borderId="0" xfId="0" applyNumberFormat="1" applyFont="1" applyFill="1" applyBorder="1" applyAlignment="1">
      <alignment horizontal="center" vertical="center"/>
    </xf>
    <xf numFmtId="0" fontId="0" fillId="0" borderId="2" xfId="0" applyFill="1" applyBorder="1" applyAlignment="1">
      <alignment vertical="top" wrapText="1"/>
    </xf>
    <xf numFmtId="0" fontId="82" fillId="0" borderId="0" xfId="0" applyFont="1" applyBorder="1" applyAlignment="1">
      <alignment vertical="top" wrapText="1"/>
    </xf>
    <xf numFmtId="0" fontId="211" fillId="0" borderId="0" xfId="0" applyFont="1" applyFill="1" applyBorder="1" applyAlignment="1">
      <alignment horizontal="center" vertical="top" wrapText="1"/>
    </xf>
    <xf numFmtId="164" fontId="107" fillId="0" borderId="0" xfId="0" applyNumberFormat="1" applyFont="1" applyFill="1" applyBorder="1" applyAlignment="1">
      <alignment horizontal="center" vertical="center"/>
    </xf>
    <xf numFmtId="166" fontId="217" fillId="0" borderId="1" xfId="0" applyNumberFormat="1" applyFont="1" applyFill="1" applyBorder="1" applyAlignment="1">
      <alignment horizontal="center" vertical="center"/>
    </xf>
    <xf numFmtId="3" fontId="39" fillId="0" borderId="1" xfId="0" applyNumberFormat="1" applyFont="1" applyBorder="1" applyAlignment="1">
      <alignment horizontal="right" vertical="top" wrapText="1"/>
    </xf>
    <xf numFmtId="3" fontId="39" fillId="0" borderId="1" xfId="0" applyNumberFormat="1" applyFont="1" applyFill="1" applyBorder="1" applyAlignment="1">
      <alignment horizontal="right" vertical="top" wrapText="1"/>
    </xf>
    <xf numFmtId="166" fontId="217" fillId="0" borderId="0" xfId="0" applyNumberFormat="1" applyFont="1" applyBorder="1" applyAlignment="1">
      <alignment horizontal="center" vertical="center"/>
    </xf>
    <xf numFmtId="1" fontId="217" fillId="0" borderId="0" xfId="0" applyNumberFormat="1" applyFont="1" applyFill="1" applyBorder="1" applyAlignment="1">
      <alignment horizontal="center" vertical="center"/>
    </xf>
    <xf numFmtId="164" fontId="217" fillId="0" borderId="0" xfId="0" applyNumberFormat="1" applyFont="1" applyFill="1" applyAlignment="1">
      <alignment horizontal="center" vertical="center"/>
    </xf>
    <xf numFmtId="0" fontId="206" fillId="0" borderId="0" xfId="0" applyFont="1" applyFill="1" applyAlignment="1">
      <alignment horizontal="center" vertical="center"/>
    </xf>
    <xf numFmtId="1" fontId="217" fillId="0" borderId="1" xfId="0" applyNumberFormat="1" applyFont="1" applyFill="1" applyBorder="1" applyAlignment="1">
      <alignment horizontal="center" vertical="center"/>
    </xf>
    <xf numFmtId="166" fontId="217" fillId="0" borderId="1" xfId="0" applyNumberFormat="1" applyFont="1" applyBorder="1" applyAlignment="1">
      <alignment horizontal="center" vertical="center"/>
    </xf>
    <xf numFmtId="164" fontId="217" fillId="0" borderId="2" xfId="0" applyNumberFormat="1" applyFont="1" applyFill="1" applyBorder="1" applyAlignment="1">
      <alignment horizontal="center" vertical="center"/>
    </xf>
    <xf numFmtId="164" fontId="217" fillId="2" borderId="1" xfId="0" applyNumberFormat="1" applyFont="1" applyFill="1" applyBorder="1" applyAlignment="1">
      <alignment horizontal="center" vertical="center"/>
    </xf>
    <xf numFmtId="164" fontId="217" fillId="0" borderId="1" xfId="0" applyNumberFormat="1" applyFont="1" applyFill="1" applyBorder="1" applyAlignment="1">
      <alignment horizontal="center" vertical="center"/>
    </xf>
    <xf numFmtId="1" fontId="206" fillId="0" borderId="0" xfId="0" applyNumberFormat="1" applyFont="1" applyFill="1" applyBorder="1" applyAlignment="1">
      <alignment horizontal="center" vertical="center"/>
    </xf>
    <xf numFmtId="0" fontId="38" fillId="0" borderId="1" xfId="0" applyFont="1" applyFill="1" applyBorder="1" applyAlignment="1">
      <alignment vertical="top" wrapText="1"/>
    </xf>
    <xf numFmtId="0" fontId="82" fillId="0" borderId="2" xfId="0" applyFont="1" applyFill="1" applyBorder="1" applyAlignment="1">
      <alignment vertical="top" wrapText="1"/>
    </xf>
    <xf numFmtId="164" fontId="217" fillId="0" borderId="3" xfId="0" applyNumberFormat="1" applyFont="1" applyFill="1" applyBorder="1" applyAlignment="1">
      <alignment horizontal="center" vertical="center"/>
    </xf>
    <xf numFmtId="0" fontId="29" fillId="0" borderId="0" xfId="0" applyFont="1" applyAlignment="1">
      <alignment horizontal="center" vertical="top" wrapText="1"/>
    </xf>
    <xf numFmtId="0" fontId="41" fillId="0" borderId="0" xfId="0" applyFont="1" applyFill="1" applyBorder="1" applyAlignment="1">
      <alignment vertical="top" wrapText="1"/>
    </xf>
    <xf numFmtId="0" fontId="91" fillId="0" borderId="0" xfId="0" applyFont="1" applyAlignment="1">
      <alignment wrapText="1"/>
    </xf>
    <xf numFmtId="3" fontId="206" fillId="0" borderId="1" xfId="0" applyNumberFormat="1" applyFont="1" applyFill="1" applyBorder="1" applyAlignment="1">
      <alignment horizontal="center" vertical="center"/>
    </xf>
    <xf numFmtId="164" fontId="227" fillId="0" borderId="2" xfId="0" applyNumberFormat="1" applyFont="1" applyFill="1" applyBorder="1" applyAlignment="1">
      <alignment horizontal="center" vertical="center"/>
    </xf>
    <xf numFmtId="166" fontId="227" fillId="0" borderId="0" xfId="0" applyNumberFormat="1" applyFont="1" applyFill="1" applyBorder="1" applyAlignment="1">
      <alignment horizontal="center" vertical="center"/>
    </xf>
    <xf numFmtId="164" fontId="227" fillId="0" borderId="0" xfId="0" applyNumberFormat="1" applyFont="1" applyFill="1" applyBorder="1" applyAlignment="1">
      <alignment horizontal="center" vertical="center"/>
    </xf>
    <xf numFmtId="164" fontId="227" fillId="0" borderId="1" xfId="0" applyNumberFormat="1" applyFont="1" applyFill="1" applyBorder="1" applyAlignment="1">
      <alignment horizontal="center" vertical="center"/>
    </xf>
    <xf numFmtId="164" fontId="227" fillId="2" borderId="1" xfId="0" applyNumberFormat="1" applyFont="1" applyFill="1" applyBorder="1" applyAlignment="1">
      <alignment horizontal="center" vertical="center"/>
    </xf>
    <xf numFmtId="3" fontId="227" fillId="0" borderId="0" xfId="0" applyNumberFormat="1" applyFont="1" applyFill="1" applyAlignment="1">
      <alignment horizontal="center" vertical="center"/>
    </xf>
    <xf numFmtId="164" fontId="227" fillId="0" borderId="0" xfId="0" applyNumberFormat="1" applyFont="1" applyFill="1" applyAlignment="1">
      <alignment horizontal="center" vertical="center"/>
    </xf>
    <xf numFmtId="3" fontId="206" fillId="0" borderId="0" xfId="0" applyNumberFormat="1" applyFont="1" applyFill="1" applyBorder="1" applyAlignment="1">
      <alignment horizontal="center" vertical="center"/>
    </xf>
    <xf numFmtId="1" fontId="212" fillId="0" borderId="0" xfId="0" applyNumberFormat="1" applyFont="1" applyFill="1" applyBorder="1" applyAlignment="1">
      <alignment horizontal="center" vertical="center"/>
    </xf>
    <xf numFmtId="3" fontId="212" fillId="0" borderId="0" xfId="0" applyNumberFormat="1" applyFont="1" applyFill="1" applyBorder="1" applyAlignment="1">
      <alignment horizontal="center" vertical="center"/>
    </xf>
    <xf numFmtId="0" fontId="102" fillId="0" borderId="0" xfId="0" applyFont="1" applyFill="1" applyAlignment="1">
      <alignment horizontal="center"/>
    </xf>
    <xf numFmtId="0" fontId="148" fillId="0" borderId="0" xfId="0" applyFont="1" applyFill="1" applyAlignment="1">
      <alignment horizontal="right"/>
    </xf>
    <xf numFmtId="0" fontId="124" fillId="0" borderId="0" xfId="0" applyFont="1" applyFill="1" applyAlignment="1">
      <alignment vertical="top" wrapText="1"/>
    </xf>
    <xf numFmtId="0" fontId="124" fillId="0" borderId="0" xfId="2" applyFont="1" applyFill="1" applyAlignment="1">
      <alignment vertical="top" wrapText="1"/>
    </xf>
    <xf numFmtId="0" fontId="238" fillId="0" borderId="0" xfId="0" applyFont="1" applyFill="1" applyBorder="1" applyAlignment="1">
      <alignment horizontal="left" vertical="top" wrapText="1"/>
    </xf>
    <xf numFmtId="0" fontId="76" fillId="0" borderId="0" xfId="0" applyFont="1" applyFill="1" applyBorder="1" applyAlignment="1">
      <alignment horizontal="center" vertical="top" wrapText="1"/>
    </xf>
    <xf numFmtId="0" fontId="136" fillId="0" borderId="0" xfId="0" applyFont="1" applyFill="1" applyBorder="1" applyAlignment="1">
      <alignment horizontal="left" vertical="top" wrapText="1"/>
    </xf>
    <xf numFmtId="164" fontId="124" fillId="0" borderId="0" xfId="0" applyNumberFormat="1" applyFont="1" applyFill="1" applyBorder="1" applyAlignment="1">
      <alignment horizontal="left" vertical="top" wrapText="1"/>
    </xf>
    <xf numFmtId="0" fontId="239" fillId="0" borderId="0" xfId="0" applyFont="1" applyFill="1" applyBorder="1" applyAlignment="1">
      <alignment vertical="top" wrapText="1"/>
    </xf>
    <xf numFmtId="164" fontId="131" fillId="0" borderId="0" xfId="0" applyNumberFormat="1" applyFont="1" applyFill="1" applyBorder="1" applyAlignment="1">
      <alignment horizontal="center"/>
    </xf>
    <xf numFmtId="164" fontId="124" fillId="0" borderId="0" xfId="0" applyNumberFormat="1" applyFont="1" applyFill="1" applyBorder="1" applyAlignment="1">
      <alignment horizontal="right" vertical="top" wrapText="1"/>
    </xf>
    <xf numFmtId="0" fontId="240" fillId="0" borderId="0" xfId="0" applyFont="1" applyFill="1" applyBorder="1" applyAlignment="1">
      <alignment vertical="top" wrapText="1"/>
    </xf>
    <xf numFmtId="0" fontId="241" fillId="0" borderId="0" xfId="0" applyFont="1" applyFill="1" applyBorder="1" applyAlignment="1">
      <alignment vertical="top" wrapText="1"/>
    </xf>
    <xf numFmtId="0" fontId="76" fillId="0" borderId="0" xfId="0" applyFont="1" applyFill="1" applyAlignment="1">
      <alignment vertical="top" wrapText="1"/>
    </xf>
    <xf numFmtId="0" fontId="239" fillId="0" borderId="0" xfId="0" applyFont="1" applyFill="1"/>
    <xf numFmtId="0" fontId="16" fillId="0" borderId="0" xfId="0" applyFont="1" applyFill="1"/>
    <xf numFmtId="0" fontId="209" fillId="3" borderId="2" xfId="0" applyFont="1" applyFill="1" applyBorder="1" applyAlignment="1">
      <alignment horizontal="center" vertical="center"/>
    </xf>
    <xf numFmtId="166" fontId="227" fillId="0" borderId="0" xfId="0" applyNumberFormat="1" applyFont="1" applyBorder="1" applyAlignment="1">
      <alignment horizontal="center" vertical="center"/>
    </xf>
    <xf numFmtId="164" fontId="227" fillId="0" borderId="1" xfId="0" applyNumberFormat="1" applyFont="1" applyBorder="1" applyAlignment="1">
      <alignment horizontal="center" vertical="center"/>
    </xf>
    <xf numFmtId="164" fontId="227" fillId="15" borderId="0" xfId="0" applyNumberFormat="1" applyFont="1" applyFill="1" applyBorder="1" applyAlignment="1">
      <alignment horizontal="center"/>
    </xf>
    <xf numFmtId="164" fontId="217" fillId="15" borderId="0" xfId="0" applyNumberFormat="1" applyFont="1" applyFill="1" applyBorder="1" applyAlignment="1">
      <alignment horizontal="center" vertical="center"/>
    </xf>
    <xf numFmtId="164" fontId="80" fillId="15" borderId="1" xfId="0" applyNumberFormat="1" applyFont="1" applyFill="1" applyBorder="1" applyAlignment="1">
      <alignment horizontal="center" vertical="center"/>
    </xf>
    <xf numFmtId="164" fontId="95" fillId="15" borderId="2" xfId="0" applyNumberFormat="1" applyFont="1" applyFill="1" applyBorder="1" applyAlignment="1">
      <alignment horizontal="center" vertical="center"/>
    </xf>
    <xf numFmtId="0" fontId="23" fillId="15" borderId="2" xfId="0" applyFont="1" applyFill="1" applyBorder="1" applyAlignment="1">
      <alignment horizontal="center" vertical="top" wrapText="1"/>
    </xf>
    <xf numFmtId="0" fontId="235" fillId="0" borderId="0" xfId="0" applyFont="1" applyFill="1" applyBorder="1" applyAlignment="1">
      <alignment horizontal="center" vertical="top" wrapText="1"/>
    </xf>
    <xf numFmtId="164" fontId="242" fillId="0" borderId="1" xfId="0" applyNumberFormat="1" applyFont="1" applyFill="1" applyBorder="1" applyAlignment="1">
      <alignment horizontal="center" vertical="center"/>
    </xf>
    <xf numFmtId="164" fontId="242" fillId="0" borderId="2" xfId="0" applyNumberFormat="1" applyFont="1" applyFill="1" applyBorder="1" applyAlignment="1">
      <alignment horizontal="center" vertical="center"/>
    </xf>
    <xf numFmtId="164" fontId="217" fillId="0" borderId="1" xfId="0" applyNumberFormat="1" applyFont="1" applyBorder="1" applyAlignment="1">
      <alignment horizontal="center" vertical="center"/>
    </xf>
    <xf numFmtId="164" fontId="242" fillId="0" borderId="0" xfId="0" applyNumberFormat="1" applyFont="1" applyFill="1" applyBorder="1" applyAlignment="1">
      <alignment horizontal="center" vertical="center"/>
    </xf>
    <xf numFmtId="164" fontId="217" fillId="0" borderId="3" xfId="0" applyNumberFormat="1" applyFont="1" applyBorder="1" applyAlignment="1">
      <alignment horizontal="center" vertical="center"/>
    </xf>
    <xf numFmtId="166" fontId="217" fillId="0" borderId="0" xfId="0" applyNumberFormat="1" applyFont="1" applyFill="1" applyAlignment="1">
      <alignment horizontal="center" vertical="center"/>
    </xf>
    <xf numFmtId="0" fontId="209" fillId="3" borderId="2" xfId="0" applyFont="1" applyFill="1" applyBorder="1" applyAlignment="1">
      <alignment horizontal="center" vertical="top" wrapText="1"/>
    </xf>
    <xf numFmtId="166" fontId="217" fillId="0" borderId="0" xfId="0" applyNumberFormat="1" applyFont="1" applyFill="1" applyBorder="1" applyAlignment="1">
      <alignment horizontal="center" vertical="top" wrapText="1"/>
    </xf>
    <xf numFmtId="3" fontId="217" fillId="0" borderId="0" xfId="0" applyNumberFormat="1" applyFont="1" applyFill="1" applyBorder="1" applyAlignment="1">
      <alignment horizontal="center" vertical="center"/>
    </xf>
    <xf numFmtId="164" fontId="217" fillId="0" borderId="0" xfId="0" applyNumberFormat="1" applyFont="1" applyFill="1" applyBorder="1" applyAlignment="1">
      <alignment horizontal="center" vertical="top" wrapText="1"/>
    </xf>
    <xf numFmtId="164" fontId="217" fillId="0" borderId="0" xfId="0" applyNumberFormat="1" applyFont="1" applyFill="1" applyAlignment="1">
      <alignment horizontal="center" vertical="top" wrapText="1"/>
    </xf>
    <xf numFmtId="164" fontId="217" fillId="0" borderId="2" xfId="0" applyNumberFormat="1" applyFont="1" applyFill="1" applyBorder="1" applyAlignment="1">
      <alignment horizontal="center" vertical="top" wrapText="1"/>
    </xf>
    <xf numFmtId="0" fontId="244" fillId="0" borderId="1" xfId="0" applyFont="1" applyFill="1" applyBorder="1" applyAlignment="1">
      <alignment horizontal="center" vertical="center"/>
    </xf>
    <xf numFmtId="164" fontId="242" fillId="2" borderId="1" xfId="0" applyNumberFormat="1" applyFont="1" applyFill="1" applyBorder="1" applyAlignment="1">
      <alignment horizontal="center" vertical="center"/>
    </xf>
    <xf numFmtId="0" fontId="245" fillId="0" borderId="0" xfId="0" applyFont="1" applyFill="1" applyAlignment="1">
      <alignment horizontal="right"/>
    </xf>
    <xf numFmtId="0" fontId="212" fillId="0" borderId="0" xfId="0" applyFont="1" applyBorder="1" applyAlignment="1">
      <alignment horizontal="left" vertical="top" wrapText="1"/>
    </xf>
    <xf numFmtId="0" fontId="246" fillId="0" borderId="0" xfId="0" applyFont="1" applyBorder="1" applyAlignment="1">
      <alignment vertical="top" wrapText="1"/>
    </xf>
    <xf numFmtId="0" fontId="212" fillId="0" borderId="0" xfId="0" applyFont="1" applyBorder="1" applyAlignment="1">
      <alignment vertical="top" wrapText="1"/>
    </xf>
    <xf numFmtId="0" fontId="212" fillId="0" borderId="0" xfId="0" applyFont="1" applyFill="1" applyBorder="1" applyAlignment="1">
      <alignment vertical="top" wrapText="1"/>
    </xf>
    <xf numFmtId="164" fontId="213" fillId="0" borderId="0" xfId="0" applyNumberFormat="1" applyFont="1" applyBorder="1" applyAlignment="1">
      <alignment horizontal="center"/>
    </xf>
    <xf numFmtId="164" fontId="246" fillId="0" borderId="0" xfId="0" applyNumberFormat="1" applyFont="1" applyBorder="1" applyAlignment="1">
      <alignment horizontal="center"/>
    </xf>
    <xf numFmtId="164" fontId="246" fillId="0" borderId="0" xfId="0" applyNumberFormat="1" applyFont="1" applyFill="1" applyBorder="1" applyAlignment="1">
      <alignment horizontal="center"/>
    </xf>
    <xf numFmtId="164" fontId="211" fillId="0" borderId="0" xfId="0" applyNumberFormat="1" applyFont="1" applyBorder="1" applyAlignment="1">
      <alignment horizontal="center"/>
    </xf>
    <xf numFmtId="0" fontId="214" fillId="0" borderId="0" xfId="0" applyFont="1" applyBorder="1" applyAlignment="1">
      <alignment horizontal="center" vertical="top" wrapText="1"/>
    </xf>
    <xf numFmtId="0" fontId="212" fillId="0" borderId="0" xfId="0" applyFont="1" applyBorder="1" applyAlignment="1">
      <alignment horizontal="center" vertical="top" wrapText="1"/>
    </xf>
    <xf numFmtId="164" fontId="247" fillId="0" borderId="0" xfId="0" applyNumberFormat="1" applyFont="1" applyBorder="1" applyAlignment="1">
      <alignment horizontal="center"/>
    </xf>
    <xf numFmtId="0" fontId="214" fillId="0" borderId="0" xfId="0" applyFont="1" applyAlignment="1">
      <alignment horizontal="center"/>
    </xf>
    <xf numFmtId="164" fontId="213" fillId="0" borderId="0" xfId="0" applyNumberFormat="1" applyFont="1" applyAlignment="1">
      <alignment horizontal="center"/>
    </xf>
    <xf numFmtId="164" fontId="213" fillId="0" borderId="0" xfId="0" applyNumberFormat="1" applyFont="1" applyFill="1"/>
    <xf numFmtId="164" fontId="212" fillId="0" borderId="0" xfId="0" applyNumberFormat="1" applyFont="1"/>
    <xf numFmtId="0" fontId="212" fillId="0" borderId="0" xfId="0" applyFont="1"/>
    <xf numFmtId="0" fontId="249" fillId="0" borderId="0" xfId="0" applyFont="1" applyAlignment="1">
      <alignment horizontal="center"/>
    </xf>
    <xf numFmtId="0" fontId="250" fillId="0" borderId="0" xfId="0" applyFont="1" applyBorder="1" applyAlignment="1">
      <alignment horizontal="center"/>
    </xf>
    <xf numFmtId="0" fontId="212" fillId="0" borderId="0" xfId="0" applyFont="1" applyAlignment="1">
      <alignment horizontal="left" vertical="top" wrapText="1"/>
    </xf>
    <xf numFmtId="3" fontId="251" fillId="0" borderId="0" xfId="0" applyNumberFormat="1" applyFont="1" applyFill="1" applyAlignment="1">
      <alignment horizontal="center" vertical="center"/>
    </xf>
    <xf numFmtId="164" fontId="217" fillId="0" borderId="1" xfId="0" applyNumberFormat="1" applyFont="1" applyFill="1" applyBorder="1" applyAlignment="1">
      <alignment horizontal="center"/>
    </xf>
    <xf numFmtId="164" fontId="205" fillId="0" borderId="2" xfId="0" applyNumberFormat="1" applyFont="1" applyFill="1" applyBorder="1" applyAlignment="1">
      <alignment horizontal="center" vertical="center"/>
    </xf>
    <xf numFmtId="3" fontId="217" fillId="0" borderId="2" xfId="0" applyNumberFormat="1" applyFont="1" applyFill="1" applyBorder="1" applyAlignment="1">
      <alignment horizontal="center" vertical="center"/>
    </xf>
    <xf numFmtId="0" fontId="10" fillId="0" borderId="2" xfId="0" applyFont="1" applyFill="1" applyBorder="1" applyAlignment="1">
      <alignment horizontal="right" vertical="center"/>
    </xf>
    <xf numFmtId="0" fontId="206" fillId="0" borderId="0" xfId="0" applyFont="1" applyAlignment="1">
      <alignment horizontal="center" vertical="center"/>
    </xf>
    <xf numFmtId="0" fontId="206" fillId="0" borderId="0" xfId="0" applyFont="1" applyBorder="1" applyAlignment="1">
      <alignment horizontal="center" vertical="center"/>
    </xf>
    <xf numFmtId="1" fontId="217" fillId="0" borderId="0" xfId="0" applyNumberFormat="1" applyFont="1" applyAlignment="1">
      <alignment horizontal="center" vertical="center"/>
    </xf>
    <xf numFmtId="1" fontId="217" fillId="0" borderId="0" xfId="0" applyNumberFormat="1" applyFont="1" applyFill="1" applyAlignment="1">
      <alignment horizontal="center" vertical="center"/>
    </xf>
    <xf numFmtId="164" fontId="217" fillId="0" borderId="0" xfId="0" applyNumberFormat="1" applyFont="1" applyAlignment="1">
      <alignment horizontal="center" vertical="center"/>
    </xf>
    <xf numFmtId="3" fontId="212" fillId="3" borderId="1" xfId="0" applyNumberFormat="1" applyFont="1" applyFill="1" applyBorder="1" applyAlignment="1">
      <alignment horizontal="center" vertical="center"/>
    </xf>
    <xf numFmtId="0" fontId="236" fillId="3" borderId="0" xfId="0" applyFont="1" applyFill="1" applyBorder="1" applyAlignment="1">
      <alignment horizontal="center" vertical="center"/>
    </xf>
    <xf numFmtId="3" fontId="236" fillId="3" borderId="2" xfId="0" applyNumberFormat="1" applyFont="1" applyFill="1" applyBorder="1" applyAlignment="1">
      <alignment horizontal="center" vertical="center"/>
    </xf>
    <xf numFmtId="1" fontId="206" fillId="3" borderId="1" xfId="0" applyNumberFormat="1" applyFont="1" applyFill="1" applyBorder="1" applyAlignment="1">
      <alignment horizontal="center" vertical="center"/>
    </xf>
    <xf numFmtId="3" fontId="209" fillId="3" borderId="2" xfId="0" applyNumberFormat="1" applyFont="1" applyFill="1" applyBorder="1" applyAlignment="1">
      <alignment horizontal="center" vertical="center"/>
    </xf>
    <xf numFmtId="0" fontId="206" fillId="3" borderId="1" xfId="0" applyFont="1" applyFill="1" applyBorder="1" applyAlignment="1">
      <alignment horizontal="center" vertical="center"/>
    </xf>
    <xf numFmtId="0" fontId="206" fillId="3" borderId="2" xfId="0" applyFont="1" applyFill="1" applyBorder="1" applyAlignment="1">
      <alignment horizontal="center" vertical="center"/>
    </xf>
    <xf numFmtId="1" fontId="209" fillId="3" borderId="2" xfId="0" applyNumberFormat="1" applyFont="1" applyFill="1" applyBorder="1" applyAlignment="1">
      <alignment horizontal="center" vertical="center"/>
    </xf>
    <xf numFmtId="0" fontId="124" fillId="0" borderId="0" xfId="0" applyFont="1" applyFill="1" applyAlignment="1">
      <alignment horizontal="right" vertical="top" wrapText="1"/>
    </xf>
    <xf numFmtId="0" fontId="245" fillId="0" borderId="0" xfId="0" applyFont="1" applyFill="1" applyAlignment="1">
      <alignment horizontal="right" vertical="center"/>
    </xf>
    <xf numFmtId="0" fontId="15" fillId="0" borderId="0" xfId="0" applyFont="1" applyBorder="1" applyAlignment="1">
      <alignment horizontal="center"/>
    </xf>
    <xf numFmtId="3" fontId="15" fillId="3" borderId="0" xfId="0" applyNumberFormat="1" applyFont="1" applyFill="1" applyAlignment="1">
      <alignment horizontal="center"/>
    </xf>
    <xf numFmtId="3" fontId="10" fillId="3" borderId="2" xfId="0" applyNumberFormat="1" applyFont="1" applyFill="1" applyBorder="1" applyAlignment="1">
      <alignment horizontal="center"/>
    </xf>
    <xf numFmtId="166" fontId="217" fillId="0" borderId="0" xfId="0" applyNumberFormat="1" applyFont="1" applyAlignment="1">
      <alignment horizontal="center"/>
    </xf>
    <xf numFmtId="164" fontId="32" fillId="11" borderId="0" xfId="0" applyNumberFormat="1" applyFont="1" applyFill="1" applyAlignment="1">
      <alignment horizontal="center"/>
    </xf>
    <xf numFmtId="164" fontId="217" fillId="0" borderId="0" xfId="0" applyNumberFormat="1" applyFont="1" applyAlignment="1">
      <alignment horizontal="center"/>
    </xf>
    <xf numFmtId="0" fontId="246" fillId="0" borderId="1" xfId="0" applyFont="1" applyFill="1" applyBorder="1" applyAlignment="1">
      <alignment horizontal="center" vertical="center"/>
    </xf>
    <xf numFmtId="164" fontId="217" fillId="0" borderId="2" xfId="0" applyNumberFormat="1" applyFont="1" applyFill="1" applyBorder="1" applyAlignment="1">
      <alignment horizontal="center"/>
    </xf>
    <xf numFmtId="164" fontId="32" fillId="2" borderId="0" xfId="0" applyNumberFormat="1" applyFont="1" applyFill="1" applyAlignment="1">
      <alignment horizontal="center"/>
    </xf>
    <xf numFmtId="164" fontId="7" fillId="2" borderId="2" xfId="0" applyNumberFormat="1" applyFont="1" applyFill="1" applyBorder="1" applyAlignment="1">
      <alignment horizontal="center"/>
    </xf>
    <xf numFmtId="164" fontId="213" fillId="0" borderId="2" xfId="0" applyNumberFormat="1" applyFont="1" applyFill="1" applyBorder="1" applyAlignment="1">
      <alignment horizontal="center" vertical="center"/>
    </xf>
    <xf numFmtId="0" fontId="248" fillId="4" borderId="0" xfId="0" applyFont="1" applyFill="1" applyBorder="1" applyAlignment="1">
      <alignment vertical="center"/>
    </xf>
    <xf numFmtId="0" fontId="212" fillId="0" borderId="0" xfId="0" applyFont="1" applyAlignment="1">
      <alignment vertical="center"/>
    </xf>
    <xf numFmtId="0" fontId="15" fillId="4" borderId="0" xfId="0" applyFont="1" applyFill="1" applyAlignment="1">
      <alignment horizontal="center"/>
    </xf>
    <xf numFmtId="0" fontId="39" fillId="0" borderId="0" xfId="0" applyFont="1" applyAlignment="1">
      <alignment horizontal="left" vertical="top" wrapText="1"/>
    </xf>
    <xf numFmtId="0" fontId="0" fillId="0" borderId="0" xfId="0" applyFill="1" applyAlignment="1">
      <alignment vertical="top" wrapText="1"/>
    </xf>
    <xf numFmtId="166" fontId="217" fillId="0" borderId="1" xfId="0" applyNumberFormat="1" applyFont="1" applyFill="1" applyBorder="1" applyAlignment="1">
      <alignment horizontal="center"/>
    </xf>
    <xf numFmtId="166" fontId="217" fillId="0" borderId="0" xfId="0" applyNumberFormat="1" applyFont="1" applyBorder="1" applyAlignment="1">
      <alignment horizontal="center"/>
    </xf>
    <xf numFmtId="0" fontId="34" fillId="3" borderId="0" xfId="0" applyFont="1" applyFill="1" applyBorder="1" applyAlignment="1">
      <alignment horizontal="center" vertical="top" wrapText="1"/>
    </xf>
    <xf numFmtId="166" fontId="217" fillId="0" borderId="2" xfId="0" applyNumberFormat="1" applyFont="1" applyFill="1" applyBorder="1" applyAlignment="1">
      <alignment horizontal="center"/>
    </xf>
    <xf numFmtId="0" fontId="15" fillId="0" borderId="0" xfId="0" applyFont="1" applyAlignment="1">
      <alignment horizontal="center"/>
    </xf>
    <xf numFmtId="164" fontId="217" fillId="0" borderId="3" xfId="0" applyNumberFormat="1" applyFont="1" applyFill="1" applyBorder="1" applyAlignment="1">
      <alignment horizontal="center"/>
    </xf>
    <xf numFmtId="164" fontId="205" fillId="11" borderId="2" xfId="0" applyNumberFormat="1" applyFont="1" applyFill="1" applyBorder="1" applyAlignment="1">
      <alignment horizontal="center"/>
    </xf>
    <xf numFmtId="3" fontId="15" fillId="3" borderId="1" xfId="0" applyNumberFormat="1" applyFont="1" applyFill="1" applyBorder="1" applyAlignment="1">
      <alignment horizontal="center"/>
    </xf>
    <xf numFmtId="3" fontId="28" fillId="3" borderId="1" xfId="0" applyNumberFormat="1" applyFont="1" applyFill="1" applyBorder="1" applyAlignment="1">
      <alignment horizontal="center"/>
    </xf>
    <xf numFmtId="3" fontId="217" fillId="0" borderId="0" xfId="0" applyNumberFormat="1" applyFont="1" applyAlignment="1">
      <alignment horizontal="center" vertical="center" wrapText="1"/>
    </xf>
    <xf numFmtId="166" fontId="217" fillId="0" borderId="0" xfId="0" applyNumberFormat="1" applyFont="1" applyFill="1" applyAlignment="1">
      <alignment horizontal="center"/>
    </xf>
    <xf numFmtId="166" fontId="217" fillId="0" borderId="0" xfId="0" applyNumberFormat="1" applyFont="1" applyFill="1" applyAlignment="1">
      <alignment horizontal="center" vertical="center" wrapText="1"/>
    </xf>
    <xf numFmtId="164" fontId="217" fillId="0" borderId="2" xfId="0" applyNumberFormat="1" applyFont="1" applyBorder="1" applyAlignment="1">
      <alignment horizontal="center"/>
    </xf>
    <xf numFmtId="0" fontId="216" fillId="0" borderId="0" xfId="0" applyFont="1" applyBorder="1" applyAlignment="1">
      <alignment vertical="top" wrapText="1"/>
    </xf>
    <xf numFmtId="0" fontId="37" fillId="0" borderId="0" xfId="0" applyFont="1" applyAlignment="1">
      <alignment horizontal="left" vertical="top" wrapText="1"/>
    </xf>
    <xf numFmtId="164" fontId="217" fillId="11" borderId="1" xfId="0" applyNumberFormat="1" applyFont="1" applyFill="1" applyBorder="1" applyAlignment="1">
      <alignment horizontal="center"/>
    </xf>
    <xf numFmtId="164" fontId="32" fillId="2" borderId="1" xfId="0" applyNumberFormat="1" applyFont="1" applyFill="1" applyBorder="1" applyAlignment="1">
      <alignment horizontal="center"/>
    </xf>
    <xf numFmtId="0" fontId="0" fillId="0" borderId="0" xfId="0" applyFill="1" applyAlignment="1">
      <alignment horizontal="right" vertical="top" wrapText="1"/>
    </xf>
    <xf numFmtId="0" fontId="206" fillId="0" borderId="0" xfId="0" applyFont="1" applyFill="1" applyAlignment="1">
      <alignment horizontal="center" vertical="center" wrapText="1"/>
    </xf>
    <xf numFmtId="0" fontId="28" fillId="0" borderId="0" xfId="0" applyFont="1" applyFill="1" applyAlignment="1">
      <alignment horizontal="center"/>
    </xf>
    <xf numFmtId="0" fontId="0" fillId="0" borderId="0" xfId="0" applyAlignment="1">
      <alignment vertical="top" wrapText="1"/>
    </xf>
    <xf numFmtId="0" fontId="253" fillId="0" borderId="0" xfId="0" applyFont="1" applyAlignment="1">
      <alignment horizontal="center" vertical="top" wrapText="1"/>
    </xf>
    <xf numFmtId="0" fontId="254" fillId="0" borderId="0" xfId="0" applyFont="1" applyAlignment="1">
      <alignment horizontal="center" vertical="top" wrapText="1"/>
    </xf>
    <xf numFmtId="0" fontId="255" fillId="0" borderId="0" xfId="0" applyFont="1" applyAlignment="1">
      <alignment horizontal="center" vertical="top" wrapText="1"/>
    </xf>
    <xf numFmtId="0" fontId="27" fillId="0" borderId="0" xfId="0" applyFont="1" applyAlignment="1">
      <alignment horizontal="left" vertical="top" wrapText="1"/>
    </xf>
    <xf numFmtId="0" fontId="61" fillId="0" borderId="0" xfId="0" applyFont="1" applyAlignment="1">
      <alignment horizontal="left" vertical="top" wrapText="1"/>
    </xf>
    <xf numFmtId="0" fontId="59" fillId="0" borderId="0" xfId="0" applyFont="1" applyAlignment="1">
      <alignment horizontal="left" vertical="top" wrapText="1"/>
    </xf>
    <xf numFmtId="0" fontId="76" fillId="0" borderId="0" xfId="0" applyFont="1" applyFill="1" applyAlignment="1">
      <alignment horizontal="left" vertical="top" wrapText="1"/>
    </xf>
    <xf numFmtId="0" fontId="76" fillId="0" borderId="0" xfId="0" applyFont="1" applyAlignment="1">
      <alignment horizontal="left" vertical="top" wrapText="1"/>
    </xf>
    <xf numFmtId="0" fontId="120" fillId="0" borderId="0" xfId="0" applyFont="1" applyAlignment="1">
      <alignment horizontal="left" vertical="top" wrapText="1"/>
    </xf>
    <xf numFmtId="0" fontId="0" fillId="0" borderId="0" xfId="0" applyFill="1" applyBorder="1" applyAlignment="1">
      <alignment vertical="top" wrapText="1"/>
    </xf>
    <xf numFmtId="0" fontId="124" fillId="0" borderId="0" xfId="0" applyFont="1" applyFill="1" applyAlignment="1">
      <alignment horizontal="left" vertical="top" wrapText="1"/>
    </xf>
    <xf numFmtId="0" fontId="253" fillId="0" borderId="0" xfId="0" applyFont="1"/>
    <xf numFmtId="0" fontId="254" fillId="0" borderId="0" xfId="0" applyFont="1"/>
    <xf numFmtId="0" fontId="255" fillId="0" borderId="0" xfId="0" applyFont="1"/>
    <xf numFmtId="3" fontId="256" fillId="0" borderId="0" xfId="0" applyNumberFormat="1" applyFont="1" applyFill="1" applyAlignment="1">
      <alignment horizontal="center" vertical="center"/>
    </xf>
    <xf numFmtId="0" fontId="29" fillId="0" borderId="0" xfId="0" applyFont="1" applyFill="1" applyBorder="1" applyAlignment="1">
      <alignment horizontal="center" vertical="top" wrapText="1"/>
    </xf>
    <xf numFmtId="0" fontId="23" fillId="0" borderId="0" xfId="0" applyFont="1" applyFill="1" applyBorder="1" applyAlignment="1">
      <alignment horizontal="center" vertical="top" wrapText="1"/>
    </xf>
    <xf numFmtId="0" fontId="0" fillId="0" borderId="0" xfId="0" applyFill="1" applyBorder="1" applyAlignment="1">
      <alignment vertical="top" wrapText="1"/>
    </xf>
    <xf numFmtId="0" fontId="29" fillId="0" borderId="0" xfId="0" applyFont="1" applyAlignment="1">
      <alignment horizontal="center" vertical="top" wrapText="1"/>
    </xf>
    <xf numFmtId="0" fontId="91" fillId="0" borderId="0" xfId="0" applyFont="1" applyAlignment="1">
      <alignment wrapText="1"/>
    </xf>
    <xf numFmtId="0" fontId="153" fillId="0" borderId="0" xfId="0" applyFont="1" applyFill="1" applyAlignment="1">
      <alignment vertical="center"/>
    </xf>
    <xf numFmtId="164" fontId="160" fillId="0" borderId="0" xfId="0" applyNumberFormat="1" applyFont="1" applyFill="1" applyAlignment="1">
      <alignment vertical="center"/>
    </xf>
    <xf numFmtId="0" fontId="18" fillId="0" borderId="0" xfId="0" applyFont="1" applyFill="1" applyBorder="1" applyAlignment="1">
      <alignment horizontal="center" vertical="top" wrapText="1"/>
    </xf>
    <xf numFmtId="1" fontId="15" fillId="0" borderId="0" xfId="0" applyNumberFormat="1" applyFont="1" applyFill="1" applyAlignment="1">
      <alignment horizontal="center"/>
    </xf>
    <xf numFmtId="3" fontId="28" fillId="0" borderId="0" xfId="0" applyNumberFormat="1" applyFont="1" applyFill="1" applyAlignment="1">
      <alignment horizontal="center"/>
    </xf>
    <xf numFmtId="3" fontId="45" fillId="0" borderId="0" xfId="0" applyNumberFormat="1" applyFont="1" applyFill="1" applyAlignment="1">
      <alignment horizontal="center"/>
    </xf>
    <xf numFmtId="164" fontId="32" fillId="0" borderId="0" xfId="0" applyNumberFormat="1" applyFont="1" applyFill="1" applyBorder="1" applyAlignment="1">
      <alignment horizontal="center" vertical="center"/>
    </xf>
    <xf numFmtId="0" fontId="12" fillId="0" borderId="0" xfId="0" applyFont="1" applyFill="1" applyBorder="1" applyAlignment="1">
      <alignment horizontal="center"/>
    </xf>
    <xf numFmtId="0" fontId="15" fillId="0" borderId="0" xfId="0" applyFont="1" applyFill="1" applyBorder="1" applyAlignment="1">
      <alignment horizontal="center" vertical="top" wrapText="1"/>
    </xf>
    <xf numFmtId="0" fontId="258" fillId="0" borderId="0" xfId="0" applyFont="1" applyFill="1" applyBorder="1" applyAlignment="1">
      <alignment horizontal="center" vertical="top" wrapText="1"/>
    </xf>
    <xf numFmtId="0" fontId="28" fillId="0" borderId="0" xfId="0" applyFont="1" applyFill="1" applyBorder="1" applyAlignment="1">
      <alignment horizontal="center" vertical="top" wrapText="1"/>
    </xf>
    <xf numFmtId="0" fontId="45" fillId="0" borderId="0" xfId="0" applyFont="1" applyFill="1" applyBorder="1" applyAlignment="1">
      <alignment horizontal="center" vertical="top" wrapText="1"/>
    </xf>
    <xf numFmtId="0" fontId="32" fillId="0" borderId="0" xfId="0" applyFont="1" applyFill="1" applyBorder="1" applyAlignment="1">
      <alignment horizontal="center" wrapText="1"/>
    </xf>
    <xf numFmtId="0" fontId="235" fillId="0" borderId="0" xfId="0" applyFont="1" applyFill="1" applyBorder="1" applyAlignment="1">
      <alignment horizontal="center" wrapText="1"/>
    </xf>
    <xf numFmtId="0" fontId="10" fillId="0" borderId="0" xfId="0" applyFont="1" applyFill="1" applyBorder="1" applyAlignment="1">
      <alignment horizontal="center"/>
    </xf>
    <xf numFmtId="0" fontId="235" fillId="0" borderId="0" xfId="0" applyFont="1" applyFill="1" applyAlignment="1">
      <alignment horizontal="center"/>
    </xf>
    <xf numFmtId="0" fontId="15" fillId="0" borderId="0" xfId="0" applyFont="1" applyFill="1" applyAlignment="1">
      <alignment horizontal="center"/>
    </xf>
    <xf numFmtId="3" fontId="6" fillId="0" borderId="0" xfId="0" applyNumberFormat="1" applyFont="1" applyFill="1" applyAlignment="1">
      <alignment horizontal="center"/>
    </xf>
    <xf numFmtId="0" fontId="6" fillId="0" borderId="0" xfId="0" applyFont="1" applyFill="1" applyAlignment="1">
      <alignment horizontal="center"/>
    </xf>
    <xf numFmtId="0" fontId="45" fillId="0" borderId="0" xfId="0" applyFont="1" applyFill="1" applyAlignment="1">
      <alignment horizontal="center"/>
    </xf>
    <xf numFmtId="164" fontId="32" fillId="2" borderId="0" xfId="0" applyNumberFormat="1" applyFont="1" applyFill="1" applyBorder="1" applyAlignment="1">
      <alignment horizontal="center" vertical="center"/>
    </xf>
    <xf numFmtId="0" fontId="235" fillId="0" borderId="0" xfId="0" applyFont="1" applyFill="1" applyBorder="1" applyAlignment="1">
      <alignment horizontal="center" vertical="center" wrapText="1"/>
    </xf>
    <xf numFmtId="0" fontId="235" fillId="0" borderId="0" xfId="0" applyFont="1" applyFill="1" applyAlignment="1">
      <alignment horizontal="center" vertical="center"/>
    </xf>
    <xf numFmtId="3" fontId="45" fillId="0" borderId="0" xfId="0" applyNumberFormat="1" applyFont="1" applyFill="1" applyAlignment="1">
      <alignment horizontal="center" vertical="center"/>
    </xf>
    <xf numFmtId="0" fontId="15" fillId="0" borderId="0" xfId="0" applyFont="1" applyFill="1" applyAlignment="1">
      <alignment horizontal="center" vertical="center"/>
    </xf>
    <xf numFmtId="3"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45" fillId="0" borderId="0" xfId="0" applyFont="1" applyFill="1" applyAlignment="1">
      <alignment horizontal="center" vertical="center"/>
    </xf>
    <xf numFmtId="3" fontId="91" fillId="0" borderId="0" xfId="0" applyNumberFormat="1" applyFont="1" applyFill="1" applyAlignment="1">
      <alignment horizontal="center" vertical="center"/>
    </xf>
    <xf numFmtId="0" fontId="94" fillId="0" borderId="0" xfId="0" applyFont="1" applyFill="1" applyAlignment="1">
      <alignment horizontal="center" vertical="center"/>
    </xf>
    <xf numFmtId="0" fontId="91" fillId="0" borderId="0" xfId="0" applyFont="1" applyAlignment="1">
      <alignment horizontal="center" vertical="center"/>
    </xf>
    <xf numFmtId="0" fontId="94" fillId="0" borderId="0" xfId="0" applyFont="1" applyAlignment="1">
      <alignment horizontal="center" vertical="center"/>
    </xf>
    <xf numFmtId="0" fontId="234" fillId="0" borderId="0" xfId="0" applyFont="1" applyFill="1" applyAlignment="1">
      <alignment horizontal="center" vertical="center"/>
    </xf>
    <xf numFmtId="0" fontId="227" fillId="0" borderId="0" xfId="0" applyFont="1" applyFill="1" applyAlignment="1">
      <alignment horizontal="center" vertical="center"/>
    </xf>
    <xf numFmtId="3" fontId="233" fillId="0" borderId="0" xfId="0" applyNumberFormat="1" applyFont="1" applyFill="1" applyAlignment="1">
      <alignment horizontal="center" vertical="center"/>
    </xf>
    <xf numFmtId="0" fontId="233" fillId="0" borderId="0" xfId="0" applyFont="1" applyFill="1" applyAlignment="1">
      <alignment horizontal="center" vertical="center"/>
    </xf>
    <xf numFmtId="0" fontId="0" fillId="0" borderId="0" xfId="0" applyAlignment="1">
      <alignment vertical="top" wrapText="1"/>
    </xf>
    <xf numFmtId="0" fontId="59" fillId="0" borderId="0" xfId="0" applyFont="1" applyFill="1" applyAlignment="1">
      <alignment horizontal="left" vertical="top" wrapText="1"/>
    </xf>
    <xf numFmtId="0" fontId="41" fillId="0" borderId="0" xfId="0" applyFont="1" applyFill="1" applyBorder="1" applyAlignment="1">
      <alignment vertical="top" wrapText="1"/>
    </xf>
    <xf numFmtId="0" fontId="0" fillId="0" borderId="0" xfId="0" applyFill="1" applyBorder="1" applyAlignment="1">
      <alignment vertical="top" wrapText="1"/>
    </xf>
    <xf numFmtId="0" fontId="260" fillId="3" borderId="0" xfId="0" applyFont="1" applyFill="1" applyBorder="1" applyAlignment="1">
      <alignment horizontal="center" vertical="center"/>
    </xf>
    <xf numFmtId="3" fontId="260" fillId="3" borderId="0" xfId="0" applyNumberFormat="1" applyFont="1" applyFill="1" applyBorder="1" applyAlignment="1">
      <alignment horizontal="center" vertical="center"/>
    </xf>
    <xf numFmtId="166" fontId="217" fillId="0" borderId="0"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164" fontId="32" fillId="0" borderId="3" xfId="0" applyNumberFormat="1" applyFont="1" applyBorder="1" applyAlignment="1">
      <alignment horizontal="center" vertical="center"/>
    </xf>
    <xf numFmtId="164" fontId="34" fillId="0" borderId="3" xfId="0" applyNumberFormat="1" applyFont="1" applyBorder="1" applyAlignment="1">
      <alignment horizontal="left" vertical="top" wrapText="1"/>
    </xf>
    <xf numFmtId="164" fontId="80" fillId="0" borderId="1" xfId="0" applyNumberFormat="1" applyFont="1" applyFill="1" applyBorder="1" applyAlignment="1">
      <alignment horizontal="center" vertical="center"/>
    </xf>
    <xf numFmtId="0" fontId="41" fillId="0" borderId="1" xfId="0" applyFont="1" applyFill="1" applyBorder="1" applyAlignment="1">
      <alignment vertical="top" wrapText="1"/>
    </xf>
    <xf numFmtId="0" fontId="261" fillId="0" borderId="0" xfId="0" applyFont="1" applyFill="1" applyBorder="1" applyAlignment="1">
      <alignment horizontal="right" vertical="top" wrapText="1"/>
    </xf>
    <xf numFmtId="164" fontId="227" fillId="0" borderId="0" xfId="0" applyNumberFormat="1" applyFont="1" applyFill="1" applyBorder="1" applyAlignment="1">
      <alignment horizontal="center" vertical="center" wrapText="1"/>
    </xf>
    <xf numFmtId="0" fontId="236" fillId="0" borderId="0" xfId="0" applyFont="1" applyFill="1" applyBorder="1" applyAlignment="1">
      <alignment horizontal="right" vertical="center"/>
    </xf>
    <xf numFmtId="0" fontId="236" fillId="0" borderId="0" xfId="0" applyFont="1" applyFill="1" applyAlignment="1">
      <alignment horizontal="right"/>
    </xf>
    <xf numFmtId="0" fontId="206" fillId="0" borderId="0" xfId="0" applyFont="1" applyFill="1" applyBorder="1" applyAlignment="1">
      <alignment horizontal="center" vertical="center"/>
    </xf>
    <xf numFmtId="0" fontId="235" fillId="0" borderId="0" xfId="0" applyFont="1" applyFill="1" applyAlignment="1"/>
    <xf numFmtId="0" fontId="7" fillId="0" borderId="0" xfId="0" applyFont="1" applyFill="1" applyAlignment="1"/>
    <xf numFmtId="166" fontId="215" fillId="0" borderId="0" xfId="0" applyNumberFormat="1" applyFont="1" applyFill="1" applyBorder="1" applyAlignment="1">
      <alignment horizontal="center" vertical="top" wrapText="1"/>
    </xf>
    <xf numFmtId="1" fontId="212" fillId="0" borderId="2" xfId="0" applyNumberFormat="1" applyFont="1" applyFill="1" applyBorder="1" applyAlignment="1">
      <alignment horizontal="center" vertical="top" wrapText="1"/>
    </xf>
    <xf numFmtId="164" fontId="227" fillId="0" borderId="2" xfId="0" applyNumberFormat="1" applyFont="1" applyFill="1" applyBorder="1" applyAlignment="1">
      <alignment horizontal="center" vertical="top" wrapText="1"/>
    </xf>
    <xf numFmtId="0" fontId="0" fillId="0" borderId="0" xfId="0" applyAlignment="1">
      <alignment vertical="top" wrapText="1"/>
    </xf>
    <xf numFmtId="0" fontId="267" fillId="0" borderId="0" xfId="0" applyFont="1" applyFill="1" applyAlignment="1">
      <alignment vertical="top" wrapText="1"/>
    </xf>
    <xf numFmtId="164" fontId="217" fillId="0" borderId="0" xfId="0" applyNumberFormat="1" applyFont="1" applyFill="1" applyAlignment="1">
      <alignment horizontal="center" vertical="center" wrapText="1"/>
    </xf>
    <xf numFmtId="164" fontId="217" fillId="0" borderId="0" xfId="0" applyNumberFormat="1" applyFont="1" applyFill="1" applyAlignment="1">
      <alignment horizontal="center"/>
    </xf>
    <xf numFmtId="0" fontId="270" fillId="0" borderId="0" xfId="0" applyFont="1" applyFill="1" applyAlignment="1">
      <alignment horizontal="center" vertical="top" wrapText="1"/>
    </xf>
    <xf numFmtId="0" fontId="209" fillId="0" borderId="0" xfId="0" applyFont="1" applyFill="1" applyAlignment="1">
      <alignment horizontal="center"/>
    </xf>
    <xf numFmtId="3" fontId="279" fillId="0" borderId="0" xfId="0" applyNumberFormat="1" applyFont="1" applyFill="1" applyBorder="1" applyAlignment="1">
      <alignment horizontal="right" vertical="center"/>
    </xf>
    <xf numFmtId="3" fontId="281" fillId="0" borderId="0" xfId="0" applyNumberFormat="1" applyFont="1" applyFill="1" applyBorder="1" applyAlignment="1">
      <alignment horizontal="right" vertical="center"/>
    </xf>
    <xf numFmtId="0" fontId="283" fillId="0" borderId="0" xfId="0" applyFont="1" applyAlignment="1">
      <alignment vertical="top" wrapText="1"/>
    </xf>
    <xf numFmtId="0" fontId="12" fillId="16" borderId="0" xfId="0" applyFont="1" applyFill="1" applyAlignment="1">
      <alignment horizontal="center" vertical="center" wrapText="1"/>
    </xf>
    <xf numFmtId="0" fontId="12" fillId="16" borderId="0" xfId="0" applyFont="1" applyFill="1" applyAlignment="1">
      <alignment horizontal="center" vertical="center"/>
    </xf>
    <xf numFmtId="0" fontId="12" fillId="16" borderId="0" xfId="0" applyFont="1" applyFill="1" applyAlignment="1">
      <alignment horizontal="center"/>
    </xf>
    <xf numFmtId="0" fontId="113" fillId="16" borderId="0" xfId="0" applyFont="1" applyFill="1" applyAlignment="1">
      <alignment horizontal="center" vertical="center"/>
    </xf>
    <xf numFmtId="0" fontId="0" fillId="0" borderId="0" xfId="0" applyFill="1" applyAlignment="1">
      <alignment vertical="top" wrapText="1"/>
    </xf>
    <xf numFmtId="0" fontId="0" fillId="0" borderId="0" xfId="0" applyFill="1" applyBorder="1" applyAlignment="1">
      <alignment vertical="top" wrapText="1"/>
    </xf>
    <xf numFmtId="0" fontId="59" fillId="0" borderId="0" xfId="0" applyFont="1" applyFill="1" applyAlignment="1">
      <alignment horizontal="left" vertical="top" wrapText="1"/>
    </xf>
    <xf numFmtId="0" fontId="41" fillId="0" borderId="0" xfId="0" applyFont="1" applyFill="1" applyBorder="1" applyAlignment="1">
      <alignment vertical="top" wrapText="1"/>
    </xf>
    <xf numFmtId="0" fontId="12" fillId="17" borderId="0" xfId="0" applyFont="1" applyFill="1" applyAlignment="1">
      <alignment horizontal="center" vertical="center" wrapText="1"/>
    </xf>
    <xf numFmtId="0" fontId="12" fillId="17" borderId="0" xfId="0" applyFont="1" applyFill="1" applyAlignment="1">
      <alignment horizontal="center"/>
    </xf>
    <xf numFmtId="0" fontId="289" fillId="0" borderId="0" xfId="0" applyFont="1" applyFill="1" applyAlignment="1">
      <alignment horizontal="right" vertical="center" wrapText="1"/>
    </xf>
    <xf numFmtId="0" fontId="12" fillId="17" borderId="0" xfId="0" applyFont="1" applyFill="1" applyAlignment="1">
      <alignment horizontal="center" vertical="center"/>
    </xf>
    <xf numFmtId="0" fontId="12" fillId="19" borderId="0" xfId="0" applyFont="1" applyFill="1" applyAlignment="1">
      <alignment horizontal="center" vertical="center"/>
    </xf>
    <xf numFmtId="0" fontId="294" fillId="0" borderId="0" xfId="0" applyFont="1" applyAlignment="1">
      <alignment vertical="center" wrapText="1"/>
    </xf>
    <xf numFmtId="0" fontId="294" fillId="0" borderId="0" xfId="0" applyFont="1" applyAlignment="1">
      <alignment wrapText="1"/>
    </xf>
    <xf numFmtId="0" fontId="72" fillId="4" borderId="0" xfId="0" applyFont="1" applyFill="1" applyBorder="1"/>
    <xf numFmtId="0" fontId="294" fillId="0" borderId="0" xfId="0" applyFont="1" applyFill="1"/>
    <xf numFmtId="0" fontId="289" fillId="0" borderId="0" xfId="0" applyFont="1" applyFill="1" applyAlignment="1">
      <alignment horizontal="right" vertical="center" wrapText="1"/>
    </xf>
    <xf numFmtId="0" fontId="94" fillId="0" borderId="0" xfId="0" applyFont="1" applyFill="1" applyBorder="1"/>
    <xf numFmtId="0" fontId="289" fillId="0" borderId="0" xfId="0" applyFont="1" applyFill="1" applyAlignment="1">
      <alignment horizontal="center" vertical="center"/>
    </xf>
    <xf numFmtId="0" fontId="289" fillId="0" borderId="0" xfId="0" applyFont="1" applyAlignment="1">
      <alignment horizontal="center" vertical="center"/>
    </xf>
    <xf numFmtId="0" fontId="230" fillId="0" borderId="0" xfId="0" applyFont="1" applyFill="1" applyAlignment="1">
      <alignment horizontal="center"/>
    </xf>
    <xf numFmtId="164" fontId="51" fillId="0" borderId="0" xfId="0" applyNumberFormat="1" applyFont="1" applyFill="1" applyBorder="1" applyAlignment="1">
      <alignment horizontal="center"/>
    </xf>
    <xf numFmtId="0" fontId="0" fillId="0" borderId="0" xfId="0" applyFill="1" applyBorder="1" applyAlignment="1">
      <alignment horizontal="righ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vertical="top" wrapText="1"/>
    </xf>
    <xf numFmtId="0" fontId="0" fillId="0" borderId="0" xfId="0" applyFill="1" applyAlignment="1"/>
    <xf numFmtId="0" fontId="97" fillId="0" borderId="0" xfId="0" applyFont="1" applyAlignment="1">
      <alignment horizontal="center" vertical="center"/>
    </xf>
    <xf numFmtId="0" fontId="245" fillId="17" borderId="0" xfId="0" applyFont="1" applyFill="1" applyAlignment="1">
      <alignment horizontal="center" vertical="center"/>
    </xf>
    <xf numFmtId="0" fontId="10" fillId="17" borderId="0" xfId="0" applyFont="1" applyFill="1" applyAlignment="1">
      <alignment horizontal="center"/>
    </xf>
    <xf numFmtId="0" fontId="157" fillId="17" borderId="0" xfId="0" applyFont="1" applyFill="1" applyAlignment="1">
      <alignment horizontal="center"/>
    </xf>
    <xf numFmtId="0" fontId="10" fillId="17" borderId="0" xfId="0" applyFont="1" applyFill="1" applyAlignment="1">
      <alignment horizontal="center" vertical="center"/>
    </xf>
    <xf numFmtId="0" fontId="0" fillId="0" borderId="0" xfId="0" applyAlignment="1">
      <alignment vertical="center" wrapText="1"/>
    </xf>
    <xf numFmtId="0" fontId="294" fillId="0" borderId="0" xfId="0" applyFont="1" applyAlignment="1">
      <alignment vertical="center" wrapText="1"/>
    </xf>
    <xf numFmtId="0" fontId="188" fillId="17" borderId="0" xfId="0" applyFont="1" applyFill="1" applyAlignment="1">
      <alignment horizontal="center"/>
    </xf>
    <xf numFmtId="0" fontId="39" fillId="0" borderId="0" xfId="0" applyFont="1" applyAlignment="1">
      <alignment vertical="top" wrapText="1"/>
    </xf>
    <xf numFmtId="0" fontId="41" fillId="0" borderId="0" xfId="0" applyFont="1" applyFill="1" applyBorder="1" applyAlignment="1">
      <alignment vertical="top" wrapText="1"/>
    </xf>
    <xf numFmtId="0" fontId="10" fillId="0" borderId="1" xfId="0" applyFont="1" applyFill="1" applyBorder="1" applyAlignment="1">
      <alignment horizontal="center"/>
    </xf>
    <xf numFmtId="0" fontId="10" fillId="0" borderId="2" xfId="0" applyFont="1" applyFill="1" applyBorder="1" applyAlignment="1">
      <alignment horizontal="center"/>
    </xf>
    <xf numFmtId="0" fontId="23" fillId="5" borderId="2" xfId="0" applyFont="1" applyFill="1" applyBorder="1" applyAlignment="1">
      <alignment horizontal="center" vertical="top" wrapText="1"/>
    </xf>
    <xf numFmtId="0" fontId="23" fillId="0" borderId="0" xfId="0" applyFont="1" applyBorder="1" applyAlignment="1">
      <alignment horizontal="center" vertical="top" wrapText="1"/>
    </xf>
    <xf numFmtId="0" fontId="12" fillId="18" borderId="0" xfId="0" applyFont="1" applyFill="1" applyAlignment="1">
      <alignment horizontal="center"/>
    </xf>
    <xf numFmtId="3" fontId="28" fillId="3" borderId="1" xfId="0" applyNumberFormat="1" applyFont="1" applyFill="1" applyBorder="1" applyAlignment="1">
      <alignment horizontal="center" vertical="center"/>
    </xf>
    <xf numFmtId="0" fontId="50" fillId="3" borderId="2" xfId="1" applyFont="1" applyFill="1" applyBorder="1" applyAlignment="1">
      <alignment horizontal="center" vertical="center"/>
    </xf>
    <xf numFmtId="164" fontId="227" fillId="0" borderId="0" xfId="0" applyNumberFormat="1" applyFont="1" applyFill="1" applyAlignment="1">
      <alignment horizontal="center" vertical="center" wrapText="1"/>
    </xf>
    <xf numFmtId="3" fontId="212" fillId="0" borderId="0" xfId="0" applyNumberFormat="1" applyFont="1" applyAlignment="1">
      <alignment horizontal="center" vertical="center" wrapText="1"/>
    </xf>
    <xf numFmtId="0" fontId="38" fillId="0" borderId="1" xfId="0" applyFont="1" applyBorder="1" applyAlignment="1">
      <alignment horizontal="left" vertical="top" wrapText="1"/>
    </xf>
    <xf numFmtId="0" fontId="297" fillId="0" borderId="0" xfId="0" applyFont="1" applyFill="1" applyBorder="1" applyAlignment="1">
      <alignment vertical="top" wrapText="1"/>
    </xf>
    <xf numFmtId="0" fontId="39" fillId="0" borderId="2" xfId="0" applyFont="1" applyFill="1" applyBorder="1" applyAlignment="1">
      <alignment horizontal="left" vertical="top" wrapText="1"/>
    </xf>
    <xf numFmtId="0" fontId="207" fillId="0" borderId="0" xfId="0" applyFont="1" applyAlignment="1">
      <alignment horizontal="left" vertical="top" wrapText="1"/>
    </xf>
    <xf numFmtId="0" fontId="0" fillId="0" borderId="0" xfId="0" applyFont="1" applyFill="1" applyAlignment="1">
      <alignment horizontal="center"/>
    </xf>
    <xf numFmtId="0" fontId="289" fillId="0" borderId="0" xfId="0" applyFont="1" applyAlignment="1">
      <alignment horizontal="center"/>
    </xf>
    <xf numFmtId="0" fontId="298" fillId="0" borderId="0" xfId="0" applyFont="1" applyAlignment="1">
      <alignment horizontal="center" vertical="center"/>
    </xf>
    <xf numFmtId="0" fontId="299" fillId="0" borderId="0" xfId="0" applyFont="1" applyAlignment="1">
      <alignment horizontal="center" vertical="center"/>
    </xf>
    <xf numFmtId="0" fontId="299" fillId="0" borderId="0" xfId="0" applyFont="1" applyFill="1" applyAlignment="1">
      <alignment horizontal="center" vertical="center"/>
    </xf>
    <xf numFmtId="0" fontId="298" fillId="0" borderId="0" xfId="0" applyFont="1" applyFill="1" applyAlignment="1">
      <alignment horizontal="center" vertical="center"/>
    </xf>
    <xf numFmtId="0" fontId="0" fillId="0" borderId="0" xfId="0" applyFont="1" applyAlignment="1">
      <alignment horizontal="center"/>
    </xf>
    <xf numFmtId="0" fontId="0" fillId="0" borderId="0" xfId="0" applyFont="1" applyAlignment="1">
      <alignment horizontal="center" vertical="center"/>
    </xf>
    <xf numFmtId="0" fontId="2" fillId="0" borderId="0" xfId="0" applyFont="1" applyFill="1" applyAlignment="1">
      <alignment horizontal="center"/>
    </xf>
    <xf numFmtId="0" fontId="289" fillId="0" borderId="0" xfId="0" applyFont="1" applyFill="1" applyAlignment="1">
      <alignment horizontal="center"/>
    </xf>
    <xf numFmtId="0" fontId="300" fillId="0" borderId="0" xfId="0" applyFont="1" applyFill="1" applyAlignment="1">
      <alignment horizontal="center" vertical="center"/>
    </xf>
    <xf numFmtId="0" fontId="228"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03" fillId="0" borderId="0" xfId="0" applyFont="1" applyFill="1" applyAlignment="1">
      <alignment horizontal="center" vertical="center"/>
    </xf>
    <xf numFmtId="0" fontId="301" fillId="0" borderId="0" xfId="0" applyFont="1" applyFill="1" applyAlignment="1">
      <alignment horizontal="center" vertical="center"/>
    </xf>
    <xf numFmtId="0" fontId="230" fillId="0" borderId="0" xfId="0" applyFont="1" applyAlignment="1">
      <alignment horizontal="center" vertical="center"/>
    </xf>
    <xf numFmtId="0" fontId="0" fillId="0" borderId="0" xfId="0" applyAlignment="1">
      <alignment horizontal="left" vertical="top" wrapText="1"/>
    </xf>
    <xf numFmtId="0" fontId="302" fillId="0" borderId="0" xfId="0" applyFont="1" applyAlignment="1">
      <alignment horizontal="center"/>
    </xf>
    <xf numFmtId="3" fontId="302" fillId="0" borderId="0" xfId="0" applyNumberFormat="1" applyFont="1" applyAlignment="1">
      <alignment horizontal="center"/>
    </xf>
    <xf numFmtId="164" fontId="95" fillId="0" borderId="2" xfId="0" applyNumberFormat="1" applyFont="1" applyFill="1" applyBorder="1" applyAlignment="1">
      <alignment horizontal="center" vertical="center"/>
    </xf>
    <xf numFmtId="0" fontId="304" fillId="0" borderId="0" xfId="0" applyFont="1" applyFill="1" applyAlignment="1">
      <alignment horizontal="center" vertical="center" wrapText="1"/>
    </xf>
    <xf numFmtId="0" fontId="236" fillId="0" borderId="0" xfId="0" applyFont="1" applyAlignment="1">
      <alignment horizontal="right"/>
    </xf>
    <xf numFmtId="0" fontId="245" fillId="0" borderId="0" xfId="0" applyFont="1" applyFill="1" applyBorder="1" applyAlignment="1">
      <alignment horizontal="right" vertical="center"/>
    </xf>
    <xf numFmtId="0" fontId="249" fillId="0" borderId="0" xfId="0" applyFont="1" applyFill="1" applyBorder="1" applyAlignment="1">
      <alignment horizontal="right" vertical="center"/>
    </xf>
    <xf numFmtId="0" fontId="305" fillId="19" borderId="0" xfId="0" applyFont="1" applyFill="1" applyAlignment="1">
      <alignment horizontal="center"/>
    </xf>
    <xf numFmtId="0" fontId="0" fillId="0" borderId="0" xfId="0" applyAlignment="1">
      <alignment vertical="center" wrapText="1"/>
    </xf>
    <xf numFmtId="0" fontId="0" fillId="0" borderId="0" xfId="0" applyFill="1" applyAlignment="1">
      <alignment vertical="center"/>
    </xf>
    <xf numFmtId="0" fontId="13" fillId="0" borderId="0" xfId="0" applyFont="1" applyFill="1" applyAlignment="1">
      <alignment horizontal="center" vertical="center" wrapText="1"/>
    </xf>
    <xf numFmtId="0" fontId="307" fillId="0" borderId="0" xfId="0" applyFont="1" applyFill="1" applyAlignment="1">
      <alignment horizontal="center" vertical="center"/>
    </xf>
    <xf numFmtId="0" fontId="0" fillId="0" borderId="0" xfId="0" applyFill="1" applyAlignment="1">
      <alignment vertical="center"/>
    </xf>
    <xf numFmtId="0" fontId="212" fillId="0" borderId="1" xfId="0" applyFont="1" applyFill="1" applyBorder="1" applyAlignment="1">
      <alignment horizontal="center" vertical="center" wrapText="1"/>
    </xf>
    <xf numFmtId="4" fontId="309" fillId="0" borderId="0" xfId="0" applyNumberFormat="1" applyFont="1" applyFill="1" applyAlignment="1">
      <alignment horizontal="center" vertical="top" wrapText="1"/>
    </xf>
    <xf numFmtId="0" fontId="308" fillId="0" borderId="0" xfId="0" applyFont="1" applyAlignment="1">
      <alignment wrapText="1"/>
    </xf>
    <xf numFmtId="0" fontId="310" fillId="0" borderId="0" xfId="0" applyFont="1"/>
    <xf numFmtId="3" fontId="309" fillId="0" borderId="0" xfId="0" applyNumberFormat="1" applyFont="1" applyFill="1" applyAlignment="1">
      <alignment horizontal="center" vertical="center"/>
    </xf>
    <xf numFmtId="0" fontId="311" fillId="0" borderId="0" xfId="0" applyFont="1" applyFill="1" applyAlignment="1">
      <alignment vertical="center"/>
    </xf>
    <xf numFmtId="0" fontId="310" fillId="0" borderId="0" xfId="0" applyFont="1" applyFill="1" applyAlignment="1">
      <alignment vertical="center"/>
    </xf>
    <xf numFmtId="0" fontId="308" fillId="0" borderId="0" xfId="0" applyFont="1" applyFill="1" applyAlignment="1">
      <alignment vertical="center"/>
    </xf>
    <xf numFmtId="0" fontId="312" fillId="0" borderId="0" xfId="0" applyFont="1" applyFill="1" applyAlignment="1">
      <alignment vertical="center"/>
    </xf>
    <xf numFmtId="0" fontId="206" fillId="0" borderId="4" xfId="0" applyFont="1" applyFill="1" applyBorder="1" applyAlignment="1">
      <alignment horizontal="center" vertical="center"/>
    </xf>
    <xf numFmtId="0" fontId="212" fillId="0" borderId="1" xfId="0" applyFont="1" applyFill="1" applyBorder="1" applyAlignment="1">
      <alignment horizontal="center" vertical="center"/>
    </xf>
    <xf numFmtId="0" fontId="212" fillId="0" borderId="0" xfId="0" applyFont="1" applyFill="1" applyBorder="1" applyAlignment="1">
      <alignment horizontal="center" vertical="center"/>
    </xf>
    <xf numFmtId="0" fontId="0" fillId="0" borderId="0" xfId="0" applyFill="1" applyAlignment="1">
      <alignment vertical="center"/>
    </xf>
    <xf numFmtId="0" fontId="6" fillId="0" borderId="0" xfId="0" applyFont="1" applyAlignment="1">
      <alignment vertical="center"/>
    </xf>
    <xf numFmtId="0" fontId="313" fillId="0" borderId="0" xfId="0" applyFont="1" applyFill="1" applyAlignment="1">
      <alignment vertical="center"/>
    </xf>
    <xf numFmtId="0" fontId="125" fillId="0" borderId="0" xfId="0" applyFont="1" applyFill="1" applyAlignment="1">
      <alignment vertical="center"/>
    </xf>
    <xf numFmtId="0" fontId="39" fillId="0" borderId="1" xfId="0" applyFont="1" applyFill="1" applyBorder="1" applyAlignment="1">
      <alignment horizontal="left" vertical="top" wrapText="1"/>
    </xf>
    <xf numFmtId="0" fontId="6" fillId="0" borderId="0" xfId="0" applyFont="1" applyFill="1" applyAlignment="1">
      <alignment vertical="center"/>
    </xf>
    <xf numFmtId="0" fontId="12" fillId="19" borderId="0" xfId="0" applyFont="1" applyFill="1" applyBorder="1" applyAlignment="1">
      <alignment horizontal="center" vertical="center"/>
    </xf>
    <xf numFmtId="0" fontId="0" fillId="0" borderId="0" xfId="0" applyFill="1" applyAlignment="1">
      <alignment vertical="center"/>
    </xf>
    <xf numFmtId="3" fontId="11" fillId="0" borderId="0" xfId="0" applyNumberFormat="1" applyFont="1" applyFill="1" applyAlignment="1">
      <alignment horizontal="center"/>
    </xf>
    <xf numFmtId="0" fontId="91" fillId="0" borderId="0" xfId="0" applyFont="1" applyFill="1" applyBorder="1" applyAlignment="1">
      <alignment vertical="center"/>
    </xf>
    <xf numFmtId="0" fontId="0" fillId="0" borderId="0" xfId="0" applyFill="1" applyAlignment="1">
      <alignment vertical="center"/>
    </xf>
    <xf numFmtId="0" fontId="0" fillId="0" borderId="0" xfId="0" applyFill="1" applyAlignment="1"/>
    <xf numFmtId="0" fontId="6" fillId="0" borderId="0" xfId="0" applyFont="1" applyFill="1" applyBorder="1" applyAlignment="1">
      <alignment vertical="center"/>
    </xf>
    <xf numFmtId="0" fontId="0" fillId="0" borderId="0" xfId="0" applyFill="1" applyBorder="1" applyAlignment="1">
      <alignment vertical="top" wrapText="1"/>
    </xf>
    <xf numFmtId="0" fontId="93" fillId="0" borderId="0" xfId="0" applyFont="1" applyFill="1" applyBorder="1" applyAlignment="1">
      <alignment vertical="center" wrapText="1"/>
    </xf>
    <xf numFmtId="0" fontId="0" fillId="0" borderId="0" xfId="0" applyFill="1" applyAlignment="1">
      <alignment vertical="center" wrapText="1"/>
    </xf>
    <xf numFmtId="0" fontId="41" fillId="0" borderId="0" xfId="0" applyFont="1" applyFill="1" applyBorder="1" applyAlignment="1">
      <alignment vertical="top" wrapText="1"/>
    </xf>
    <xf numFmtId="0" fontId="34" fillId="0" borderId="0" xfId="0" applyFont="1" applyFill="1" applyAlignment="1">
      <alignment vertical="top" wrapText="1"/>
    </xf>
    <xf numFmtId="0" fontId="29" fillId="0" borderId="0" xfId="0" applyFont="1" applyFill="1" applyAlignment="1">
      <alignment horizontal="center" vertical="top" wrapText="1"/>
    </xf>
    <xf numFmtId="0" fontId="0" fillId="0" borderId="0" xfId="0" applyFill="1" applyAlignment="1">
      <alignment vertical="center"/>
    </xf>
    <xf numFmtId="0" fontId="0" fillId="0" borderId="0" xfId="0" applyFill="1" applyAlignment="1"/>
    <xf numFmtId="0" fontId="0" fillId="0" borderId="0" xfId="0" applyFill="1" applyBorder="1" applyAlignment="1">
      <alignment vertical="top" wrapText="1"/>
    </xf>
    <xf numFmtId="0" fontId="41" fillId="0" borderId="2" xfId="0" applyFont="1" applyFill="1" applyBorder="1" applyAlignment="1">
      <alignment vertical="top" wrapText="1"/>
    </xf>
    <xf numFmtId="0" fontId="59" fillId="0" borderId="0" xfId="0" applyFont="1" applyFill="1" applyAlignment="1">
      <alignment horizontal="left" vertical="top" wrapText="1"/>
    </xf>
    <xf numFmtId="0" fontId="41" fillId="0" borderId="0" xfId="0" applyFont="1" applyFill="1" applyBorder="1" applyAlignment="1">
      <alignment vertical="top" wrapText="1"/>
    </xf>
    <xf numFmtId="0" fontId="0" fillId="0" borderId="0" xfId="0" applyFill="1" applyAlignment="1">
      <alignment vertical="center" wrapText="1"/>
    </xf>
    <xf numFmtId="0" fontId="39" fillId="0" borderId="2" xfId="0" applyFont="1" applyFill="1" applyBorder="1" applyAlignment="1">
      <alignment horizontal="right" vertical="top" wrapText="1"/>
    </xf>
    <xf numFmtId="166" fontId="192" fillId="0" borderId="0" xfId="0" applyNumberFormat="1" applyFont="1" applyFill="1" applyAlignment="1">
      <alignment horizontal="center" vertical="center" wrapText="1"/>
    </xf>
    <xf numFmtId="164" fontId="192" fillId="0" borderId="0" xfId="0" applyNumberFormat="1" applyFont="1" applyFill="1" applyAlignment="1">
      <alignment horizontal="center" vertical="center" wrapText="1"/>
    </xf>
    <xf numFmtId="0" fontId="45" fillId="0" borderId="0" xfId="0" applyFont="1" applyFill="1" applyBorder="1" applyAlignment="1">
      <alignment horizontal="center" vertical="center" wrapText="1"/>
    </xf>
    <xf numFmtId="164" fontId="107" fillId="0" borderId="0" xfId="0" applyNumberFormat="1" applyFont="1" applyFill="1" applyAlignment="1">
      <alignment horizontal="center" vertical="center" wrapText="1"/>
    </xf>
    <xf numFmtId="164" fontId="46" fillId="0" borderId="0" xfId="0" applyNumberFormat="1" applyFont="1" applyFill="1" applyAlignment="1">
      <alignment horizontal="center" vertical="center" wrapText="1"/>
    </xf>
    <xf numFmtId="0" fontId="29" fillId="0" borderId="2" xfId="0" applyFont="1" applyFill="1" applyBorder="1" applyAlignment="1">
      <alignment horizontal="center" vertical="top" wrapText="1"/>
    </xf>
    <xf numFmtId="0" fontId="187" fillId="0" borderId="0" xfId="0" applyFont="1" applyFill="1" applyAlignment="1">
      <alignment vertical="top" wrapText="1"/>
    </xf>
    <xf numFmtId="0" fontId="39" fillId="0" borderId="0" xfId="0" applyFont="1" applyFill="1" applyBorder="1" applyAlignment="1">
      <alignment horizontal="left" vertical="top" wrapText="1"/>
    </xf>
    <xf numFmtId="0" fontId="11" fillId="0" borderId="1" xfId="0" applyFont="1" applyFill="1" applyBorder="1" applyAlignment="1">
      <alignment horizontal="center"/>
    </xf>
    <xf numFmtId="0" fontId="39" fillId="0" borderId="0" xfId="0" applyFont="1" applyFill="1" applyAlignment="1">
      <alignment vertical="top" wrapText="1"/>
    </xf>
    <xf numFmtId="0" fontId="11" fillId="0" borderId="2" xfId="0" applyFont="1" applyFill="1" applyBorder="1" applyAlignment="1">
      <alignment horizontal="center"/>
    </xf>
    <xf numFmtId="0" fontId="255" fillId="0" borderId="0" xfId="0" applyFont="1" applyFill="1" applyAlignment="1">
      <alignment horizontal="center" vertical="top" wrapText="1"/>
    </xf>
    <xf numFmtId="164" fontId="34" fillId="0" borderId="1" xfId="0" applyNumberFormat="1" applyFont="1" applyFill="1" applyBorder="1" applyAlignment="1">
      <alignment horizontal="left" vertical="top" wrapText="1"/>
    </xf>
    <xf numFmtId="0" fontId="270" fillId="0" borderId="0" xfId="0" applyFont="1" applyFill="1" applyBorder="1" applyAlignment="1">
      <alignment horizontal="center" vertical="top" wrapText="1"/>
    </xf>
    <xf numFmtId="164" fontId="215" fillId="0" borderId="0" xfId="0" applyNumberFormat="1" applyFont="1" applyFill="1" applyAlignment="1">
      <alignment horizontal="center"/>
    </xf>
    <xf numFmtId="164" fontId="227" fillId="0" borderId="0" xfId="0" applyNumberFormat="1" applyFont="1" applyFill="1" applyBorder="1" applyAlignment="1">
      <alignment horizontal="center" vertical="top" wrapText="1"/>
    </xf>
    <xf numFmtId="0" fontId="270" fillId="0" borderId="1" xfId="0" applyFont="1" applyFill="1" applyBorder="1" applyAlignment="1">
      <alignment horizontal="center" vertical="top" wrapText="1"/>
    </xf>
    <xf numFmtId="0" fontId="209" fillId="0" borderId="0" xfId="0" applyFont="1" applyFill="1" applyBorder="1" applyAlignment="1">
      <alignment horizontal="right" vertical="center"/>
    </xf>
    <xf numFmtId="0" fontId="236" fillId="0" borderId="0" xfId="0" applyFont="1" applyFill="1" applyAlignment="1">
      <alignment horizontal="right" vertical="center"/>
    </xf>
    <xf numFmtId="164" fontId="213" fillId="17" borderId="1" xfId="0" applyNumberFormat="1" applyFont="1" applyFill="1" applyBorder="1" applyAlignment="1">
      <alignment horizontal="center"/>
    </xf>
    <xf numFmtId="164" fontId="243" fillId="17" borderId="2" xfId="0" applyNumberFormat="1" applyFont="1" applyFill="1" applyBorder="1" applyAlignment="1">
      <alignment horizontal="center"/>
    </xf>
    <xf numFmtId="164" fontId="215" fillId="17" borderId="1" xfId="0" applyNumberFormat="1" applyFont="1" applyFill="1" applyBorder="1" applyAlignment="1">
      <alignment horizontal="center"/>
    </xf>
    <xf numFmtId="164" fontId="315" fillId="17" borderId="2" xfId="0" applyNumberFormat="1" applyFont="1" applyFill="1" applyBorder="1" applyAlignment="1">
      <alignment horizontal="center"/>
    </xf>
    <xf numFmtId="0" fontId="270" fillId="0" borderId="2" xfId="0" applyFont="1" applyFill="1" applyBorder="1" applyAlignment="1">
      <alignment horizontal="center" vertical="top" wrapText="1"/>
    </xf>
    <xf numFmtId="164" fontId="215" fillId="0" borderId="2" xfId="0" applyNumberFormat="1" applyFont="1" applyFill="1" applyBorder="1" applyAlignment="1">
      <alignment horizontal="center"/>
    </xf>
    <xf numFmtId="0" fontId="88" fillId="0" borderId="0" xfId="0" applyFont="1" applyFill="1" applyAlignment="1">
      <alignment horizontal="right" vertical="center"/>
    </xf>
    <xf numFmtId="0" fontId="270" fillId="0" borderId="3" xfId="0" applyFont="1" applyFill="1" applyBorder="1" applyAlignment="1">
      <alignment horizontal="center" vertical="top" wrapText="1"/>
    </xf>
    <xf numFmtId="166" fontId="242" fillId="0" borderId="0" xfId="0" applyNumberFormat="1" applyFont="1" applyFill="1" applyBorder="1" applyAlignment="1">
      <alignment horizontal="center" vertical="center"/>
    </xf>
    <xf numFmtId="0" fontId="36" fillId="0" borderId="2" xfId="0" applyFont="1" applyFill="1" applyBorder="1" applyAlignment="1">
      <alignment vertical="top" wrapText="1"/>
    </xf>
    <xf numFmtId="166" fontId="217" fillId="0" borderId="0" xfId="0" applyNumberFormat="1" applyFont="1" applyFill="1" applyAlignment="1">
      <alignment horizontal="center" vertical="top" wrapText="1"/>
    </xf>
    <xf numFmtId="0" fontId="187" fillId="0" borderId="0" xfId="0" applyFont="1" applyFill="1" applyAlignment="1">
      <alignment horizontal="right" vertical="top" wrapText="1"/>
    </xf>
    <xf numFmtId="0" fontId="216" fillId="0" borderId="0" xfId="0" applyFont="1" applyFill="1" applyAlignment="1">
      <alignment vertical="top" wrapText="1"/>
    </xf>
    <xf numFmtId="0" fontId="187" fillId="0" borderId="2" xfId="0" applyFont="1" applyFill="1" applyBorder="1" applyAlignment="1">
      <alignment horizontal="right" vertical="top" wrapText="1"/>
    </xf>
    <xf numFmtId="3" fontId="217" fillId="0" borderId="0" xfId="0" applyNumberFormat="1" applyFont="1" applyBorder="1" applyAlignment="1">
      <alignment horizontal="center" vertical="center"/>
    </xf>
    <xf numFmtId="3" fontId="82" fillId="0" borderId="0" xfId="0" applyNumberFormat="1" applyFont="1" applyFill="1" applyBorder="1" applyAlignment="1">
      <alignment horizontal="right" vertical="top" wrapText="1"/>
    </xf>
    <xf numFmtId="3" fontId="79" fillId="0" borderId="0" xfId="0" applyNumberFormat="1" applyFont="1" applyFill="1" applyBorder="1" applyAlignment="1">
      <alignment horizontal="center"/>
    </xf>
    <xf numFmtId="0" fontId="11" fillId="0" borderId="0" xfId="0" applyFont="1" applyFill="1" applyBorder="1" applyAlignment="1">
      <alignment horizontal="center" vertical="center"/>
    </xf>
    <xf numFmtId="0" fontId="11" fillId="0" borderId="2" xfId="0" applyFont="1" applyFill="1" applyBorder="1" applyAlignment="1">
      <alignment horizontal="center" vertical="center"/>
    </xf>
    <xf numFmtId="164" fontId="77" fillId="0" borderId="0" xfId="0" applyNumberFormat="1" applyFont="1" applyFill="1" applyBorder="1" applyAlignment="1">
      <alignment horizontal="center"/>
    </xf>
    <xf numFmtId="0" fontId="11" fillId="0" borderId="1" xfId="0" applyFont="1" applyFill="1" applyBorder="1" applyAlignment="1">
      <alignment horizontal="center" vertical="center"/>
    </xf>
    <xf numFmtId="0" fontId="48" fillId="0" borderId="0" xfId="0" applyFont="1" applyFill="1" applyBorder="1" applyAlignment="1">
      <alignment horizontal="center"/>
    </xf>
    <xf numFmtId="164" fontId="192" fillId="0" borderId="0" xfId="0" applyNumberFormat="1" applyFont="1" applyFill="1" applyBorder="1" applyAlignment="1">
      <alignment horizontal="center" vertical="center"/>
    </xf>
    <xf numFmtId="0" fontId="270" fillId="0" borderId="0" xfId="0" applyFont="1" applyAlignment="1">
      <alignment horizontal="center" vertical="top" wrapText="1"/>
    </xf>
    <xf numFmtId="0" fontId="303" fillId="0" borderId="0" xfId="0" applyFont="1" applyFill="1" applyAlignment="1">
      <alignment horizontal="center" vertical="top" wrapText="1"/>
    </xf>
    <xf numFmtId="0" fontId="99" fillId="0" borderId="1" xfId="0" applyFont="1" applyFill="1" applyBorder="1" applyAlignment="1">
      <alignment horizontal="center"/>
    </xf>
    <xf numFmtId="0" fontId="99" fillId="0" borderId="2" xfId="0" applyFont="1" applyFill="1" applyBorder="1" applyAlignment="1">
      <alignment horizontal="center"/>
    </xf>
    <xf numFmtId="0" fontId="5" fillId="0" borderId="0" xfId="0" applyFont="1" applyFill="1" applyBorder="1" applyAlignment="1">
      <alignment vertical="top" wrapText="1"/>
    </xf>
    <xf numFmtId="0" fontId="99" fillId="0" borderId="0" xfId="0" applyFont="1" applyFill="1" applyAlignment="1">
      <alignment horizontal="center"/>
    </xf>
    <xf numFmtId="0" fontId="270" fillId="0" borderId="0" xfId="0" applyFont="1" applyBorder="1" applyAlignment="1">
      <alignment horizontal="center" vertical="top" wrapText="1"/>
    </xf>
    <xf numFmtId="0" fontId="206" fillId="16" borderId="1" xfId="0" applyFont="1" applyFill="1" applyBorder="1" applyAlignment="1">
      <alignment horizontal="center" vertical="center"/>
    </xf>
    <xf numFmtId="0" fontId="206" fillId="16" borderId="2" xfId="0" applyFont="1" applyFill="1" applyBorder="1" applyAlignment="1">
      <alignment horizontal="center" vertical="center"/>
    </xf>
    <xf numFmtId="164" fontId="80" fillId="17" borderId="0" xfId="0" applyNumberFormat="1" applyFont="1" applyFill="1" applyBorder="1" applyAlignment="1">
      <alignment horizontal="center" vertical="center"/>
    </xf>
    <xf numFmtId="164" fontId="95" fillId="17" borderId="0" xfId="0" applyNumberFormat="1" applyFont="1" applyFill="1" applyBorder="1" applyAlignment="1">
      <alignment horizontal="center" vertical="center"/>
    </xf>
    <xf numFmtId="164" fontId="80" fillId="15" borderId="0" xfId="0" applyNumberFormat="1" applyFont="1" applyFill="1" applyBorder="1" applyAlignment="1">
      <alignment horizontal="center" vertical="center"/>
    </xf>
    <xf numFmtId="164" fontId="95" fillId="15" borderId="0" xfId="0" applyNumberFormat="1" applyFont="1" applyFill="1" applyBorder="1" applyAlignment="1">
      <alignment horizontal="center" vertical="center"/>
    </xf>
    <xf numFmtId="0" fontId="316" fillId="4" borderId="0" xfId="0" applyFont="1" applyFill="1" applyBorder="1"/>
    <xf numFmtId="0" fontId="317" fillId="4" borderId="0" xfId="0" applyFont="1" applyFill="1" applyBorder="1"/>
    <xf numFmtId="0" fontId="318" fillId="4" borderId="0" xfId="0" applyFont="1" applyFill="1" applyBorder="1" applyAlignment="1">
      <alignment horizontal="center"/>
    </xf>
    <xf numFmtId="0" fontId="317" fillId="4" borderId="0" xfId="0" applyFont="1" applyFill="1" applyBorder="1" applyAlignment="1">
      <alignment vertical="center"/>
    </xf>
    <xf numFmtId="0" fontId="317" fillId="4" borderId="0" xfId="0" applyFont="1" applyFill="1" applyAlignment="1">
      <alignment vertical="center"/>
    </xf>
    <xf numFmtId="0" fontId="317" fillId="4" borderId="0" xfId="0" applyFont="1" applyFill="1"/>
    <xf numFmtId="0" fontId="317" fillId="4" borderId="0" xfId="0" applyFont="1" applyFill="1" applyBorder="1" applyAlignment="1">
      <alignment horizontal="left" vertical="center"/>
    </xf>
    <xf numFmtId="0" fontId="319" fillId="4" borderId="0" xfId="0" applyFont="1" applyFill="1" applyBorder="1" applyAlignment="1">
      <alignment horizontal="left" vertical="top" wrapText="1"/>
    </xf>
    <xf numFmtId="0" fontId="320" fillId="4" borderId="0" xfId="0" applyFont="1" applyFill="1" applyBorder="1" applyAlignment="1">
      <alignment vertical="center"/>
    </xf>
    <xf numFmtId="0" fontId="318" fillId="4" borderId="0" xfId="0" applyFont="1" applyFill="1" applyBorder="1" applyAlignment="1">
      <alignment horizontal="right"/>
    </xf>
    <xf numFmtId="0" fontId="318" fillId="4" borderId="0" xfId="0" applyFont="1" applyFill="1" applyBorder="1" applyAlignment="1">
      <alignment horizontal="right" vertical="center"/>
    </xf>
    <xf numFmtId="0" fontId="320" fillId="4" borderId="0" xfId="0" applyFont="1" applyFill="1" applyAlignment="1">
      <alignment horizontal="center"/>
    </xf>
    <xf numFmtId="0" fontId="296" fillId="4" borderId="0" xfId="0" applyFont="1" applyFill="1" applyBorder="1"/>
    <xf numFmtId="0" fontId="317" fillId="4" borderId="0" xfId="0" applyFont="1" applyFill="1" applyBorder="1" applyAlignment="1">
      <alignment horizontal="center" vertical="center"/>
    </xf>
    <xf numFmtId="0" fontId="317" fillId="4" borderId="0" xfId="0" applyFont="1" applyFill="1" applyAlignment="1">
      <alignment horizontal="center" vertical="center"/>
    </xf>
    <xf numFmtId="3" fontId="320" fillId="4" borderId="0" xfId="0" applyNumberFormat="1" applyFont="1" applyFill="1" applyAlignment="1">
      <alignment horizontal="center" vertical="center"/>
    </xf>
    <xf numFmtId="0" fontId="322" fillId="4" borderId="0" xfId="0" applyFont="1" applyFill="1" applyBorder="1" applyAlignment="1">
      <alignment horizontal="center" vertical="center"/>
    </xf>
    <xf numFmtId="0" fontId="302" fillId="0" borderId="0" xfId="0" applyFont="1" applyFill="1" applyAlignment="1">
      <alignment horizontal="center"/>
    </xf>
    <xf numFmtId="0" fontId="39" fillId="0" borderId="0" xfId="0" applyFont="1" applyFill="1" applyAlignment="1">
      <alignment horizontal="left" vertical="top" wrapText="1"/>
    </xf>
    <xf numFmtId="0" fontId="112" fillId="0" borderId="0" xfId="0" applyFont="1" applyFill="1" applyBorder="1" applyAlignment="1">
      <alignment horizontal="left" vertical="top" wrapText="1"/>
    </xf>
    <xf numFmtId="0" fontId="278" fillId="0" borderId="0" xfId="0" applyFont="1" applyFill="1" applyBorder="1" applyAlignment="1">
      <alignment horizontal="right" vertical="center"/>
    </xf>
    <xf numFmtId="0" fontId="280" fillId="0" borderId="0" xfId="0" applyFont="1" applyFill="1" applyBorder="1" applyAlignment="1">
      <alignment horizontal="right" vertical="center"/>
    </xf>
    <xf numFmtId="0" fontId="273" fillId="0" borderId="0" xfId="0" applyFont="1" applyFill="1" applyBorder="1" applyAlignment="1">
      <alignment horizontal="right" vertical="top" wrapText="1"/>
    </xf>
    <xf numFmtId="164" fontId="213" fillId="17" borderId="2" xfId="0" applyNumberFormat="1" applyFont="1" applyFill="1" applyBorder="1" applyAlignment="1">
      <alignment horizontal="center"/>
    </xf>
    <xf numFmtId="0" fontId="50" fillId="0" borderId="0" xfId="0" applyFont="1" applyAlignment="1">
      <alignment horizontal="center" vertical="center" wrapText="1"/>
    </xf>
    <xf numFmtId="0" fontId="39" fillId="0" borderId="0" xfId="2" applyFont="1" applyFill="1" applyAlignment="1">
      <alignment vertical="top" wrapText="1"/>
    </xf>
    <xf numFmtId="166" fontId="217" fillId="0" borderId="0" xfId="0" applyNumberFormat="1" applyFont="1" applyFill="1" applyBorder="1" applyAlignment="1">
      <alignment horizontal="center"/>
    </xf>
    <xf numFmtId="0" fontId="0" fillId="0" borderId="2" xfId="0" applyFill="1" applyBorder="1"/>
    <xf numFmtId="164" fontId="155" fillId="0" borderId="0" xfId="0" applyNumberFormat="1" applyFont="1" applyFill="1" applyAlignment="1">
      <alignment horizontal="center"/>
    </xf>
    <xf numFmtId="164" fontId="155" fillId="0" borderId="0" xfId="0" applyNumberFormat="1" applyFont="1" applyFill="1" applyBorder="1" applyAlignment="1">
      <alignment horizontal="center"/>
    </xf>
    <xf numFmtId="164" fontId="167" fillId="0" borderId="0" xfId="0" applyNumberFormat="1" applyFont="1" applyFill="1" applyAlignment="1">
      <alignment horizontal="center"/>
    </xf>
    <xf numFmtId="164" fontId="167" fillId="0" borderId="2" xfId="0" applyNumberFormat="1" applyFont="1" applyFill="1" applyBorder="1" applyAlignment="1">
      <alignment horizontal="center" vertical="center"/>
    </xf>
    <xf numFmtId="0" fontId="156" fillId="0" borderId="1" xfId="0" applyFont="1" applyFill="1" applyBorder="1" applyAlignment="1">
      <alignment horizontal="center"/>
    </xf>
    <xf numFmtId="0" fontId="156" fillId="0" borderId="2" xfId="0" applyFont="1" applyFill="1" applyBorder="1" applyAlignment="1">
      <alignment horizontal="center"/>
    </xf>
    <xf numFmtId="0" fontId="164" fillId="0" borderId="0" xfId="0" applyFont="1" applyFill="1" applyAlignment="1">
      <alignment horizontal="left" vertical="top" wrapText="1"/>
    </xf>
    <xf numFmtId="0" fontId="270" fillId="0" borderId="3" xfId="0" applyFont="1" applyBorder="1" applyAlignment="1">
      <alignment horizontal="center" vertical="top" wrapText="1"/>
    </xf>
    <xf numFmtId="0" fontId="270" fillId="0" borderId="2" xfId="0" applyFont="1" applyBorder="1" applyAlignment="1">
      <alignment horizontal="center" vertical="top" wrapText="1"/>
    </xf>
    <xf numFmtId="0" fontId="105" fillId="0" borderId="0" xfId="0" applyFont="1" applyFill="1" applyBorder="1" applyAlignment="1">
      <alignment horizontal="left" vertical="top" wrapText="1"/>
    </xf>
    <xf numFmtId="0" fontId="206" fillId="0" borderId="0" xfId="0" applyFont="1" applyFill="1" applyBorder="1" applyAlignment="1">
      <alignment horizontal="center" vertical="center" wrapText="1"/>
    </xf>
    <xf numFmtId="0" fontId="314" fillId="0" borderId="0" xfId="0" applyFont="1" applyAlignment="1">
      <alignment vertical="top" wrapText="1"/>
    </xf>
    <xf numFmtId="0" fontId="15" fillId="0" borderId="0" xfId="0" applyFont="1" applyAlignment="1">
      <alignment vertical="center"/>
    </xf>
    <xf numFmtId="0" fontId="0" fillId="0" borderId="0" xfId="0" applyFill="1" applyAlignment="1">
      <alignment vertical="center"/>
    </xf>
    <xf numFmtId="164" fontId="34" fillId="0" borderId="0" xfId="0" applyNumberFormat="1" applyFont="1" applyFill="1" applyBorder="1" applyAlignment="1">
      <alignment horizontal="left" vertical="top" wrapText="1"/>
    </xf>
    <xf numFmtId="0" fontId="0" fillId="0" borderId="0" xfId="0" applyFill="1" applyBorder="1" applyAlignment="1">
      <alignment vertical="top" wrapText="1"/>
    </xf>
    <xf numFmtId="0" fontId="0" fillId="0" borderId="0" xfId="0" applyFill="1" applyAlignment="1">
      <alignment vertical="center" wrapText="1"/>
    </xf>
    <xf numFmtId="0" fontId="39" fillId="0" borderId="0" xfId="0" applyFont="1" applyBorder="1" applyAlignment="1">
      <alignment horizontal="center" vertical="top" wrapText="1"/>
    </xf>
    <xf numFmtId="164" fontId="120" fillId="0" borderId="0" xfId="0" applyNumberFormat="1" applyFont="1" applyAlignment="1">
      <alignment horizontal="left" vertical="top" wrapText="1"/>
    </xf>
    <xf numFmtId="164" fontId="124" fillId="0" borderId="0" xfId="0" applyNumberFormat="1" applyFont="1" applyFill="1" applyAlignment="1">
      <alignment horizontal="left" vertical="top" wrapText="1"/>
    </xf>
    <xf numFmtId="0" fontId="0" fillId="0" borderId="0" xfId="0" applyFill="1" applyAlignment="1">
      <alignment vertical="center"/>
    </xf>
    <xf numFmtId="0" fontId="112" fillId="0" borderId="0" xfId="0" applyFont="1" applyBorder="1" applyAlignment="1">
      <alignment horizontal="left" vertical="top" wrapText="1"/>
    </xf>
    <xf numFmtId="164" fontId="15" fillId="0" borderId="1" xfId="0" applyNumberFormat="1" applyFont="1" applyFill="1" applyBorder="1" applyAlignment="1">
      <alignment horizontal="center"/>
    </xf>
    <xf numFmtId="164" fontId="82" fillId="0" borderId="1" xfId="0" applyNumberFormat="1" applyFont="1" applyBorder="1" applyAlignment="1">
      <alignment horizontal="left" vertical="top" wrapText="1"/>
    </xf>
    <xf numFmtId="0" fontId="82" fillId="0" borderId="1" xfId="0" applyFont="1" applyBorder="1" applyAlignment="1">
      <alignment horizontal="left" vertical="top" wrapText="1"/>
    </xf>
    <xf numFmtId="164" fontId="82" fillId="0" borderId="0" xfId="0" applyNumberFormat="1" applyFont="1" applyBorder="1" applyAlignment="1">
      <alignment horizontal="left" vertical="top" wrapText="1"/>
    </xf>
    <xf numFmtId="0" fontId="0" fillId="20" borderId="0" xfId="0" applyFill="1" applyBorder="1" applyAlignment="1">
      <alignment horizontal="center" vertical="center"/>
    </xf>
    <xf numFmtId="0" fontId="324" fillId="0" borderId="0" xfId="0" applyFont="1" applyAlignment="1">
      <alignment horizontal="center"/>
    </xf>
    <xf numFmtId="4" fontId="28" fillId="0" borderId="0" xfId="0" applyNumberFormat="1" applyFont="1" applyFill="1" applyBorder="1" applyAlignment="1">
      <alignment horizontal="center" vertical="center"/>
    </xf>
    <xf numFmtId="0" fontId="323" fillId="0" borderId="0" xfId="0" applyFont="1" applyAlignment="1">
      <alignment vertical="top" wrapText="1"/>
    </xf>
    <xf numFmtId="0" fontId="0" fillId="0" borderId="0" xfId="0" applyAlignment="1">
      <alignment vertical="top" wrapText="1"/>
    </xf>
    <xf numFmtId="0" fontId="0" fillId="0" borderId="0" xfId="0" applyFill="1" applyAlignment="1">
      <alignment vertical="center"/>
    </xf>
    <xf numFmtId="0" fontId="90" fillId="0" borderId="0" xfId="0" applyFont="1" applyAlignment="1">
      <alignment wrapText="1"/>
    </xf>
    <xf numFmtId="0" fontId="0" fillId="0" borderId="0" xfId="0" applyFill="1" applyAlignment="1"/>
    <xf numFmtId="0" fontId="94" fillId="0" borderId="0" xfId="0" applyFont="1" applyAlignment="1">
      <alignment wrapText="1"/>
    </xf>
    <xf numFmtId="0" fontId="112" fillId="0" borderId="1" xfId="0" applyFont="1" applyBorder="1" applyAlignment="1">
      <alignment horizontal="left" vertical="top" wrapText="1"/>
    </xf>
    <xf numFmtId="0" fontId="94" fillId="21" borderId="0" xfId="0" applyFont="1" applyFill="1" applyBorder="1"/>
    <xf numFmtId="0" fontId="90" fillId="21" borderId="0" xfId="0" applyFont="1" applyFill="1" applyBorder="1"/>
    <xf numFmtId="0" fontId="94" fillId="21" borderId="0" xfId="0" applyFont="1" applyFill="1" applyBorder="1" applyAlignment="1">
      <alignment vertical="center"/>
    </xf>
    <xf numFmtId="0" fontId="91" fillId="21" borderId="0" xfId="0" applyFont="1" applyFill="1" applyBorder="1" applyAlignment="1">
      <alignment horizontal="center"/>
    </xf>
    <xf numFmtId="0" fontId="90" fillId="21" borderId="0" xfId="0" applyFont="1" applyFill="1" applyBorder="1" applyAlignment="1">
      <alignment vertical="center"/>
    </xf>
    <xf numFmtId="0" fontId="136" fillId="21" borderId="0" xfId="0" applyFont="1" applyFill="1" applyBorder="1"/>
    <xf numFmtId="0" fontId="45" fillId="21" borderId="0" xfId="0" applyFont="1" applyFill="1" applyBorder="1" applyAlignment="1"/>
    <xf numFmtId="164" fontId="90" fillId="21" borderId="0" xfId="0" applyNumberFormat="1" applyFont="1" applyFill="1" applyBorder="1" applyAlignment="1">
      <alignment horizontal="center" vertical="center"/>
    </xf>
    <xf numFmtId="0" fontId="92" fillId="21" borderId="0" xfId="0" applyFont="1" applyFill="1" applyBorder="1"/>
    <xf numFmtId="0" fontId="146" fillId="21" borderId="0" xfId="0" applyFont="1" applyFill="1" applyAlignment="1">
      <alignment vertical="center"/>
    </xf>
    <xf numFmtId="0" fontId="94" fillId="21" borderId="0" xfId="0" applyFont="1" applyFill="1" applyAlignment="1">
      <alignment vertical="center"/>
    </xf>
    <xf numFmtId="0" fontId="94" fillId="21" borderId="0" xfId="0" applyFont="1" applyFill="1" applyBorder="1" applyAlignment="1">
      <alignment horizontal="center" vertical="center"/>
    </xf>
    <xf numFmtId="0" fontId="62" fillId="21" borderId="0" xfId="0" applyFont="1" applyFill="1" applyBorder="1"/>
    <xf numFmtId="0" fontId="62" fillId="21" borderId="0" xfId="0" applyFont="1" applyFill="1" applyBorder="1" applyAlignment="1">
      <alignment vertical="center"/>
    </xf>
    <xf numFmtId="0" fontId="45" fillId="21" borderId="0" xfId="0" applyFont="1" applyFill="1" applyBorder="1" applyAlignment="1">
      <alignment horizontal="center"/>
    </xf>
    <xf numFmtId="0" fontId="106" fillId="21" borderId="0" xfId="0" applyFont="1" applyFill="1" applyBorder="1" applyAlignment="1">
      <alignment vertical="top" wrapText="1"/>
    </xf>
    <xf numFmtId="0" fontId="248" fillId="21" borderId="0" xfId="0" applyFont="1" applyFill="1" applyBorder="1"/>
    <xf numFmtId="0" fontId="94" fillId="21" borderId="0" xfId="0" applyFont="1" applyFill="1"/>
    <xf numFmtId="0" fontId="45" fillId="21" borderId="0" xfId="0" applyFont="1" applyFill="1" applyBorder="1" applyAlignment="1">
      <alignment horizontal="center" vertical="center"/>
    </xf>
    <xf numFmtId="0" fontId="90" fillId="21" borderId="0" xfId="0" applyFont="1" applyFill="1"/>
    <xf numFmtId="0" fontId="90" fillId="21" borderId="0" xfId="0" applyFont="1" applyFill="1" applyAlignment="1">
      <alignment vertical="center"/>
    </xf>
    <xf numFmtId="164" fontId="227" fillId="0" borderId="2" xfId="0" applyNumberFormat="1" applyFont="1" applyFill="1" applyBorder="1" applyAlignment="1">
      <alignment horizontal="center"/>
    </xf>
    <xf numFmtId="0" fontId="290" fillId="0" borderId="0" xfId="0" applyFont="1" applyFill="1" applyAlignment="1">
      <alignment horizontal="center" vertical="center" wrapText="1"/>
    </xf>
    <xf numFmtId="0" fontId="289" fillId="18" borderId="0" xfId="0" applyFont="1" applyFill="1" applyAlignment="1">
      <alignment horizontal="center" vertical="center"/>
    </xf>
    <xf numFmtId="0" fontId="289" fillId="16" borderId="0" xfId="0" applyFont="1" applyFill="1" applyAlignment="1">
      <alignment horizontal="center" vertical="center"/>
    </xf>
    <xf numFmtId="0" fontId="289" fillId="19" borderId="0" xfId="0" applyFont="1" applyFill="1" applyAlignment="1">
      <alignment horizontal="center" vertical="center"/>
    </xf>
    <xf numFmtId="0" fontId="287" fillId="18" borderId="0" xfId="0" applyFont="1" applyFill="1" applyAlignment="1">
      <alignment horizontal="center" vertical="center" wrapText="1"/>
    </xf>
    <xf numFmtId="0" fontId="228" fillId="18" borderId="0" xfId="0" applyFont="1" applyFill="1" applyAlignment="1">
      <alignment horizontal="center" vertical="center" wrapText="1"/>
    </xf>
    <xf numFmtId="0" fontId="228" fillId="16" borderId="0" xfId="0" applyFont="1" applyFill="1" applyAlignment="1">
      <alignment horizontal="center" vertical="center" wrapText="1"/>
    </xf>
    <xf numFmtId="0" fontId="0" fillId="17" borderId="0" xfId="0" applyFill="1" applyAlignment="1">
      <alignment horizontal="center"/>
    </xf>
    <xf numFmtId="0" fontId="0" fillId="0" borderId="0" xfId="0" applyAlignment="1">
      <alignment wrapText="1"/>
    </xf>
    <xf numFmtId="0" fontId="0" fillId="17" borderId="0" xfId="0" applyFont="1" applyFill="1" applyAlignment="1">
      <alignment horizontal="center"/>
    </xf>
    <xf numFmtId="0" fontId="290" fillId="0" borderId="0" xfId="0" applyFont="1" applyAlignment="1">
      <alignment horizontal="center" vertical="top" wrapText="1"/>
    </xf>
    <xf numFmtId="0" fontId="325" fillId="0" borderId="0" xfId="0" applyFont="1" applyAlignment="1">
      <alignment horizontal="center" vertical="top" wrapText="1"/>
    </xf>
    <xf numFmtId="0" fontId="0" fillId="17" borderId="0" xfId="0" applyFill="1" applyAlignment="1">
      <alignment horizontal="center" vertical="center"/>
    </xf>
    <xf numFmtId="0" fontId="204" fillId="17" borderId="0" xfId="0" applyFont="1" applyFill="1" applyAlignment="1">
      <alignment horizontal="center" vertical="center"/>
    </xf>
    <xf numFmtId="0" fontId="306" fillId="0" borderId="0" xfId="0" applyFont="1" applyFill="1" applyAlignment="1">
      <alignment horizontal="center" vertical="center"/>
    </xf>
    <xf numFmtId="0" fontId="204" fillId="19" borderId="0" xfId="0" applyFont="1" applyFill="1" applyAlignment="1">
      <alignment horizontal="center" vertical="center"/>
    </xf>
    <xf numFmtId="0" fontId="209" fillId="19" borderId="0" xfId="0" applyFont="1" applyFill="1" applyAlignment="1">
      <alignment horizontal="center" vertical="center"/>
    </xf>
    <xf numFmtId="0" fontId="230" fillId="19" borderId="0" xfId="0" applyFont="1" applyFill="1" applyAlignment="1">
      <alignment horizontal="center" vertical="center"/>
    </xf>
    <xf numFmtId="0" fontId="317" fillId="22" borderId="0" xfId="0" applyFont="1" applyFill="1" applyBorder="1"/>
    <xf numFmtId="0" fontId="321" fillId="22" borderId="0" xfId="0" applyFont="1" applyFill="1" applyAlignment="1">
      <alignment vertical="center"/>
    </xf>
    <xf numFmtId="0" fontId="204" fillId="19" borderId="0" xfId="0" applyFont="1" applyFill="1" applyAlignment="1">
      <alignment horizontal="center"/>
    </xf>
    <xf numFmtId="0" fontId="230" fillId="17" borderId="0" xfId="0" applyFont="1" applyFill="1" applyAlignment="1">
      <alignment horizontal="center" vertical="center"/>
    </xf>
    <xf numFmtId="0" fontId="228" fillId="17" borderId="0" xfId="0" applyFont="1" applyFill="1" applyAlignment="1">
      <alignment horizontal="center" vertical="center"/>
    </xf>
    <xf numFmtId="0" fontId="5" fillId="17" borderId="0" xfId="0" applyFont="1" applyFill="1" applyAlignment="1">
      <alignment horizontal="center"/>
    </xf>
    <xf numFmtId="0" fontId="39" fillId="0" borderId="1" xfId="0" applyFont="1" applyBorder="1" applyAlignment="1">
      <alignment horizontal="left" vertical="top" wrapText="1"/>
    </xf>
    <xf numFmtId="0" fontId="39" fillId="0" borderId="3" xfId="0" applyFont="1" applyBorder="1" applyAlignment="1">
      <alignment horizontal="left" vertical="top" wrapText="1"/>
    </xf>
    <xf numFmtId="0" fontId="0" fillId="0" borderId="1" xfId="0" applyBorder="1" applyAlignment="1">
      <alignment horizontal="left" vertical="top" wrapText="1"/>
    </xf>
    <xf numFmtId="0" fontId="316" fillId="22" borderId="0" xfId="0" applyFont="1" applyFill="1"/>
    <xf numFmtId="0" fontId="318" fillId="22" borderId="0" xfId="0" applyFont="1" applyFill="1" applyBorder="1" applyAlignment="1">
      <alignment horizontal="right"/>
    </xf>
    <xf numFmtId="0" fontId="317" fillId="22" borderId="0" xfId="0" applyFont="1" applyFill="1" applyBorder="1" applyAlignment="1">
      <alignment horizontal="left"/>
    </xf>
    <xf numFmtId="0" fontId="23" fillId="2" borderId="0" xfId="0" applyFont="1" applyFill="1" applyBorder="1" applyAlignment="1">
      <alignment horizontal="center" vertical="top" wrapText="1"/>
    </xf>
    <xf numFmtId="164" fontId="205" fillId="2" borderId="0" xfId="0" applyNumberFormat="1" applyFont="1" applyFill="1" applyBorder="1" applyAlignment="1">
      <alignment horizontal="center" vertical="center"/>
    </xf>
    <xf numFmtId="0" fontId="11" fillId="0" borderId="3" xfId="0" applyFont="1" applyBorder="1" applyAlignment="1">
      <alignment horizontal="center" vertical="center"/>
    </xf>
    <xf numFmtId="0" fontId="39" fillId="0" borderId="3" xfId="0" applyFont="1" applyBorder="1" applyAlignment="1">
      <alignment horizontal="right" vertical="top" wrapText="1"/>
    </xf>
    <xf numFmtId="0" fontId="292" fillId="0" borderId="0" xfId="0" applyFont="1" applyFill="1" applyAlignment="1">
      <alignment horizontal="center" vertical="center" wrapText="1"/>
    </xf>
    <xf numFmtId="0" fontId="114" fillId="0" borderId="3" xfId="0" applyFont="1" applyBorder="1" applyAlignment="1">
      <alignment horizontal="center" vertical="center"/>
    </xf>
    <xf numFmtId="0" fontId="99" fillId="0" borderId="3" xfId="0" applyFont="1" applyBorder="1" applyAlignment="1">
      <alignment horizontal="center"/>
    </xf>
    <xf numFmtId="164" fontId="32" fillId="0" borderId="3" xfId="0" applyNumberFormat="1" applyFont="1" applyFill="1" applyBorder="1" applyAlignment="1">
      <alignment horizontal="center" vertical="center"/>
    </xf>
    <xf numFmtId="164" fontId="233" fillId="2" borderId="0" xfId="0" applyNumberFormat="1" applyFont="1" applyFill="1" applyBorder="1" applyAlignment="1">
      <alignment horizontal="center" vertical="center"/>
    </xf>
    <xf numFmtId="164" fontId="227" fillId="0" borderId="3" xfId="0" applyNumberFormat="1" applyFont="1" applyFill="1" applyBorder="1" applyAlignment="1">
      <alignment horizontal="center" vertical="center"/>
    </xf>
    <xf numFmtId="0" fontId="178" fillId="22" borderId="0" xfId="0" applyFont="1" applyFill="1"/>
    <xf numFmtId="0" fontId="179" fillId="22" borderId="0" xfId="0" applyFont="1" applyFill="1" applyAlignment="1">
      <alignment horizontal="center" vertical="top" wrapText="1"/>
    </xf>
    <xf numFmtId="164" fontId="180" fillId="22" borderId="0" xfId="0" applyNumberFormat="1" applyFont="1" applyFill="1" applyAlignment="1">
      <alignment horizontal="center" vertical="center" wrapText="1"/>
    </xf>
    <xf numFmtId="0" fontId="178" fillId="22" borderId="0" xfId="0" applyFont="1" applyFill="1" applyAlignment="1">
      <alignment vertical="center"/>
    </xf>
    <xf numFmtId="0" fontId="181" fillId="22" borderId="0" xfId="0" applyFont="1" applyFill="1"/>
    <xf numFmtId="0" fontId="34" fillId="0" borderId="0" xfId="0" applyFont="1" applyFill="1" applyAlignment="1">
      <alignment vertical="top" wrapText="1"/>
    </xf>
    <xf numFmtId="0" fontId="202" fillId="0" borderId="0" xfId="0" applyFont="1" applyFill="1" applyAlignment="1">
      <alignment vertical="top" wrapText="1"/>
    </xf>
    <xf numFmtId="0" fontId="33" fillId="0" borderId="0" xfId="0" applyFont="1" applyFill="1" applyAlignment="1">
      <alignment vertical="top" wrapText="1"/>
    </xf>
    <xf numFmtId="0" fontId="207" fillId="0" borderId="0" xfId="0" applyFont="1" applyFill="1" applyAlignment="1">
      <alignment vertical="top" wrapText="1"/>
    </xf>
    <xf numFmtId="0" fontId="220" fillId="0" borderId="0" xfId="0" applyFont="1" applyFill="1" applyBorder="1" applyAlignment="1">
      <alignment horizontal="right" vertical="top" wrapText="1"/>
    </xf>
    <xf numFmtId="0" fontId="41" fillId="0" borderId="2" xfId="0" applyFont="1" applyFill="1" applyBorder="1" applyAlignment="1">
      <alignment vertical="top" wrapText="1"/>
    </xf>
    <xf numFmtId="0" fontId="210" fillId="0" borderId="1" xfId="0" applyFont="1" applyFill="1" applyBorder="1" applyAlignment="1">
      <alignment vertical="top" wrapText="1"/>
    </xf>
    <xf numFmtId="0" fontId="39" fillId="0" borderId="2" xfId="0" applyFont="1" applyFill="1" applyBorder="1" applyAlignment="1">
      <alignment vertical="top" wrapText="1"/>
    </xf>
    <xf numFmtId="0" fontId="105" fillId="0" borderId="0" xfId="0" applyFont="1" applyFill="1" applyBorder="1" applyAlignment="1">
      <alignment horizontal="left" vertical="top" wrapText="1"/>
    </xf>
    <xf numFmtId="0" fontId="0" fillId="0" borderId="0" xfId="0" applyFill="1" applyAlignment="1">
      <alignment vertical="top" wrapText="1"/>
    </xf>
    <xf numFmtId="0" fontId="0" fillId="0" borderId="0" xfId="0" applyFill="1" applyAlignment="1">
      <alignment horizontal="left" vertical="top" wrapText="1"/>
    </xf>
    <xf numFmtId="0" fontId="59" fillId="0" borderId="0" xfId="0" applyFont="1" applyFill="1" applyAlignment="1">
      <alignment horizontal="left" vertical="top" wrapText="1"/>
    </xf>
    <xf numFmtId="0" fontId="0" fillId="0" borderId="0" xfId="0" applyFill="1" applyBorder="1" applyAlignment="1">
      <alignment vertical="top" wrapText="1"/>
    </xf>
    <xf numFmtId="0" fontId="96" fillId="0" borderId="0" xfId="0" applyFont="1" applyAlignment="1">
      <alignment vertical="top" wrapText="1"/>
    </xf>
    <xf numFmtId="0" fontId="0" fillId="0" borderId="1" xfId="0" applyFont="1" applyFill="1" applyBorder="1" applyAlignment="1">
      <alignment vertical="top" wrapText="1"/>
    </xf>
    <xf numFmtId="0" fontId="0" fillId="0" borderId="0" xfId="0" applyFont="1" applyFill="1" applyAlignment="1">
      <alignment vertical="top" wrapText="1"/>
    </xf>
    <xf numFmtId="0" fontId="73" fillId="0" borderId="0" xfId="0" applyFont="1" applyFill="1" applyAlignment="1">
      <alignment vertical="top" wrapText="1"/>
    </xf>
    <xf numFmtId="0" fontId="202" fillId="0" borderId="0" xfId="0" applyFont="1" applyFill="1" applyAlignment="1">
      <alignment horizontal="left" vertical="top" wrapText="1"/>
    </xf>
    <xf numFmtId="0" fontId="202" fillId="0" borderId="0" xfId="0" applyFont="1" applyFill="1" applyAlignment="1">
      <alignment horizontal="center" vertical="top" wrapText="1"/>
    </xf>
    <xf numFmtId="0" fontId="202" fillId="7" borderId="0" xfId="0" applyFont="1" applyFill="1" applyAlignment="1">
      <alignment horizontal="center" vertical="top" wrapText="1"/>
    </xf>
    <xf numFmtId="1" fontId="206" fillId="0" borderId="0" xfId="0" applyNumberFormat="1" applyFont="1" applyFill="1" applyAlignment="1">
      <alignment horizontal="center" vertical="center" wrapText="1"/>
    </xf>
    <xf numFmtId="3" fontId="206" fillId="0" borderId="0" xfId="0" applyNumberFormat="1" applyFont="1" applyFill="1" applyAlignment="1">
      <alignment horizontal="center" vertical="center" wrapText="1"/>
    </xf>
    <xf numFmtId="0" fontId="206" fillId="0" borderId="0" xfId="0" applyFont="1" applyFill="1" applyAlignment="1">
      <alignment horizontal="center"/>
    </xf>
    <xf numFmtId="3" fontId="206" fillId="0" borderId="0" xfId="0" applyNumberFormat="1" applyFont="1" applyFill="1" applyAlignment="1">
      <alignment horizontal="center"/>
    </xf>
    <xf numFmtId="0" fontId="202" fillId="0" borderId="0" xfId="0" applyFont="1" applyFill="1" applyAlignment="1">
      <alignment horizontal="center" vertical="top" wrapText="1"/>
    </xf>
    <xf numFmtId="1" fontId="244" fillId="0" borderId="0" xfId="0" applyNumberFormat="1" applyFont="1" applyFill="1" applyAlignment="1">
      <alignment horizontal="center"/>
    </xf>
    <xf numFmtId="1" fontId="206" fillId="0" borderId="0" xfId="0" applyNumberFormat="1" applyFont="1" applyFill="1" applyAlignment="1">
      <alignment horizontal="center"/>
    </xf>
    <xf numFmtId="0" fontId="212" fillId="0" borderId="0" xfId="0" applyFont="1" applyFill="1" applyAlignment="1">
      <alignment horizontal="center" vertical="center" wrapText="1"/>
    </xf>
    <xf numFmtId="1" fontId="212" fillId="0" borderId="0" xfId="0" applyNumberFormat="1" applyFont="1" applyFill="1" applyAlignment="1">
      <alignment horizontal="center" vertical="center" wrapText="1"/>
    </xf>
    <xf numFmtId="3" fontId="212" fillId="0" borderId="0" xfId="0" applyNumberFormat="1" applyFont="1" applyFill="1" applyAlignment="1">
      <alignment horizontal="center" vertical="center" wrapText="1"/>
    </xf>
    <xf numFmtId="0" fontId="212" fillId="0" borderId="0" xfId="0" applyFont="1" applyFill="1" applyAlignment="1">
      <alignment horizontal="center"/>
    </xf>
    <xf numFmtId="1" fontId="212" fillId="0" borderId="0" xfId="0" applyNumberFormat="1" applyFont="1" applyFill="1" applyAlignment="1">
      <alignment horizontal="center"/>
    </xf>
    <xf numFmtId="3" fontId="212" fillId="0" borderId="0" xfId="0" applyNumberFormat="1" applyFont="1" applyFill="1" applyAlignment="1">
      <alignment horizontal="center"/>
    </xf>
    <xf numFmtId="0" fontId="336" fillId="0" borderId="0" xfId="0" applyFont="1" applyFill="1" applyAlignment="1">
      <alignment horizontal="center" vertical="center"/>
    </xf>
    <xf numFmtId="0" fontId="337" fillId="9" borderId="0" xfId="0" applyFont="1" applyFill="1" applyAlignment="1">
      <alignment horizontal="left" vertical="center" wrapText="1"/>
    </xf>
    <xf numFmtId="0" fontId="338" fillId="22" borderId="0" xfId="0" applyFont="1" applyFill="1"/>
    <xf numFmtId="0" fontId="264" fillId="0" borderId="0" xfId="0" applyFont="1" applyFill="1"/>
    <xf numFmtId="0" fontId="339" fillId="0" borderId="0" xfId="0" applyFont="1" applyAlignment="1">
      <alignment horizontal="center" vertical="center"/>
    </xf>
    <xf numFmtId="0" fontId="264" fillId="0" borderId="0" xfId="0" applyFont="1" applyAlignment="1">
      <alignment vertical="top" wrapText="1"/>
    </xf>
    <xf numFmtId="0" fontId="264" fillId="0" borderId="0" xfId="0" applyFont="1" applyFill="1" applyAlignment="1">
      <alignment vertical="center"/>
    </xf>
    <xf numFmtId="0" fontId="339" fillId="0" borderId="0" xfId="0" applyFont="1" applyAlignment="1">
      <alignment horizontal="center"/>
    </xf>
    <xf numFmtId="0" fontId="338" fillId="22" borderId="0" xfId="0" applyFont="1" applyFill="1" applyAlignment="1">
      <alignment vertical="center"/>
    </xf>
    <xf numFmtId="0" fontId="340" fillId="0" borderId="0" xfId="0" applyFont="1" applyAlignment="1">
      <alignment horizontal="center"/>
    </xf>
    <xf numFmtId="0" fontId="210" fillId="0" borderId="0" xfId="0" applyFont="1" applyFill="1" applyAlignment="1">
      <alignment vertical="top" wrapText="1"/>
    </xf>
    <xf numFmtId="0" fontId="202" fillId="0" borderId="0" xfId="0" applyFont="1" applyFill="1" applyAlignment="1">
      <alignment horizontal="right" vertical="top" wrapText="1"/>
    </xf>
    <xf numFmtId="0" fontId="335" fillId="0" borderId="0" xfId="0" applyFont="1" applyFill="1" applyAlignment="1">
      <alignment horizontal="center" vertical="top" wrapText="1"/>
    </xf>
    <xf numFmtId="0" fontId="264" fillId="0" borderId="0" xfId="0" applyFont="1"/>
    <xf numFmtId="0" fontId="337" fillId="0" borderId="0" xfId="0" applyFont="1" applyFill="1" applyAlignment="1">
      <alignment horizontal="center" vertical="center"/>
    </xf>
    <xf numFmtId="0" fontId="264" fillId="4" borderId="0" xfId="0" applyFont="1" applyFill="1"/>
    <xf numFmtId="0" fontId="342" fillId="0" borderId="0" xfId="0" applyFont="1" applyFill="1" applyBorder="1" applyAlignment="1">
      <alignment horizontal="center" vertical="top" wrapText="1"/>
    </xf>
    <xf numFmtId="0" fontId="73" fillId="0" borderId="0" xfId="0" applyFont="1" applyFill="1" applyBorder="1" applyAlignment="1">
      <alignment horizontal="left" vertical="top" wrapText="1"/>
    </xf>
    <xf numFmtId="0" fontId="202" fillId="0" borderId="1" xfId="0" applyFont="1" applyBorder="1" applyAlignment="1">
      <alignment horizontal="center" vertical="top" wrapText="1"/>
    </xf>
    <xf numFmtId="0" fontId="202" fillId="0" borderId="0" xfId="0" applyFont="1" applyBorder="1" applyAlignment="1">
      <alignment horizontal="center" vertical="top" wrapText="1"/>
    </xf>
    <xf numFmtId="0" fontId="202" fillId="0" borderId="0" xfId="0" applyFont="1" applyAlignment="1">
      <alignment horizontal="center" vertical="top" wrapText="1"/>
    </xf>
    <xf numFmtId="1" fontId="206" fillId="0" borderId="0" xfId="0" applyNumberFormat="1" applyFont="1" applyBorder="1" applyAlignment="1">
      <alignment horizontal="center" vertical="center"/>
    </xf>
    <xf numFmtId="0" fontId="345" fillId="0" borderId="0" xfId="0" applyFont="1" applyFill="1" applyBorder="1" applyAlignment="1">
      <alignment horizontal="left" vertical="top" wrapText="1"/>
    </xf>
    <xf numFmtId="0" fontId="202" fillId="0" borderId="1" xfId="0" applyFont="1" applyFill="1" applyBorder="1" applyAlignment="1">
      <alignment horizontal="center" vertical="top" wrapText="1"/>
    </xf>
    <xf numFmtId="0" fontId="202" fillId="0" borderId="0" xfId="0" applyFont="1" applyFill="1" applyBorder="1" applyAlignment="1">
      <alignment horizontal="center" vertical="top" wrapText="1"/>
    </xf>
    <xf numFmtId="166" fontId="206" fillId="0" borderId="0" xfId="0" applyNumberFormat="1" applyFont="1" applyBorder="1" applyAlignment="1">
      <alignment horizontal="center" vertical="center"/>
    </xf>
    <xf numFmtId="166" fontId="206" fillId="0" borderId="0" xfId="0" applyNumberFormat="1" applyFont="1" applyFill="1" applyBorder="1" applyAlignment="1">
      <alignment horizontal="center" vertical="center"/>
    </xf>
    <xf numFmtId="3" fontId="206" fillId="0" borderId="0" xfId="0" applyNumberFormat="1" applyFont="1" applyBorder="1" applyAlignment="1">
      <alignment horizontal="center" vertical="center"/>
    </xf>
    <xf numFmtId="166" fontId="206" fillId="0" borderId="1" xfId="0" applyNumberFormat="1" applyFont="1" applyBorder="1" applyAlignment="1">
      <alignment horizontal="center" vertical="center"/>
    </xf>
    <xf numFmtId="0" fontId="208" fillId="0" borderId="0" xfId="0" applyFont="1" applyFill="1" applyBorder="1" applyAlignment="1">
      <alignment horizontal="right" vertical="top" wrapText="1"/>
    </xf>
    <xf numFmtId="0" fontId="272" fillId="0" borderId="0" xfId="0" applyFont="1" applyFill="1" applyAlignment="1">
      <alignment wrapText="1"/>
    </xf>
    <xf numFmtId="0" fontId="30" fillId="21" borderId="0" xfId="0" applyFont="1" applyFill="1" applyBorder="1"/>
    <xf numFmtId="0" fontId="267" fillId="0" borderId="0" xfId="0" applyFont="1" applyFill="1"/>
    <xf numFmtId="0" fontId="290" fillId="0" borderId="0" xfId="0" applyFont="1" applyFill="1" applyAlignment="1">
      <alignment horizontal="right" vertical="center" wrapText="1"/>
    </xf>
    <xf numFmtId="0" fontId="235" fillId="0" borderId="0" xfId="0" applyFont="1" applyFill="1" applyAlignment="1">
      <alignment vertical="center" wrapText="1"/>
    </xf>
    <xf numFmtId="0" fontId="235" fillId="0" borderId="0" xfId="0" applyFont="1" applyAlignment="1">
      <alignment wrapText="1"/>
    </xf>
    <xf numFmtId="164" fontId="202" fillId="0" borderId="0" xfId="0" applyNumberFormat="1" applyFont="1" applyFill="1" applyBorder="1" applyAlignment="1">
      <alignment horizontal="left" vertical="top" wrapText="1"/>
    </xf>
    <xf numFmtId="0" fontId="352" fillId="0" borderId="0" xfId="0" applyFont="1" applyAlignment="1">
      <alignment vertical="top" wrapText="1"/>
    </xf>
    <xf numFmtId="0" fontId="354" fillId="0" borderId="0" xfId="0" applyFont="1" applyFill="1" applyBorder="1" applyAlignment="1">
      <alignment horizontal="left" vertical="top" wrapText="1"/>
    </xf>
    <xf numFmtId="0" fontId="229" fillId="0" borderId="1" xfId="0" applyFont="1" applyFill="1" applyBorder="1" applyAlignment="1">
      <alignment horizontal="left" vertical="top" wrapText="1"/>
    </xf>
    <xf numFmtId="0" fontId="229" fillId="0" borderId="0" xfId="0" applyFont="1" applyFill="1" applyBorder="1" applyAlignment="1">
      <alignment horizontal="left" vertical="top" wrapText="1"/>
    </xf>
    <xf numFmtId="0" fontId="229" fillId="0" borderId="0" xfId="0" applyFont="1" applyFill="1" applyBorder="1" applyAlignment="1">
      <alignment horizontal="right" vertical="top" wrapText="1"/>
    </xf>
    <xf numFmtId="0" fontId="207" fillId="0" borderId="0" xfId="0" applyFont="1" applyBorder="1" applyAlignment="1">
      <alignment horizontal="right" vertical="top" wrapText="1"/>
    </xf>
    <xf numFmtId="164" fontId="229" fillId="0" borderId="0" xfId="0" applyNumberFormat="1" applyFont="1" applyFill="1" applyBorder="1" applyAlignment="1">
      <alignment horizontal="left" vertical="top" wrapText="1"/>
    </xf>
    <xf numFmtId="164" fontId="208" fillId="0" borderId="0" xfId="0" applyNumberFormat="1" applyFont="1" applyFill="1" applyBorder="1" applyAlignment="1">
      <alignment horizontal="right" vertical="top" wrapText="1"/>
    </xf>
    <xf numFmtId="0" fontId="212" fillId="0" borderId="0" xfId="0" applyFont="1" applyAlignment="1">
      <alignment horizontal="center"/>
    </xf>
    <xf numFmtId="3" fontId="212" fillId="0" borderId="0" xfId="0" applyNumberFormat="1" applyFont="1" applyBorder="1" applyAlignment="1">
      <alignment horizontal="center" vertical="center"/>
    </xf>
    <xf numFmtId="0" fontId="212" fillId="0" borderId="1" xfId="0" applyFont="1" applyBorder="1" applyAlignment="1">
      <alignment horizontal="center"/>
    </xf>
    <xf numFmtId="1" fontId="202" fillId="0" borderId="0" xfId="0" applyNumberFormat="1" applyFont="1" applyFill="1" applyBorder="1" applyAlignment="1">
      <alignment horizontal="center" vertical="top" wrapText="1"/>
    </xf>
    <xf numFmtId="0" fontId="220" fillId="0" borderId="0" xfId="0" applyFont="1" applyFill="1" applyBorder="1" applyAlignment="1">
      <alignment horizontal="center" vertical="top" wrapText="1"/>
    </xf>
    <xf numFmtId="0" fontId="264" fillId="0" borderId="1" xfId="0" applyFont="1" applyFill="1" applyBorder="1" applyAlignment="1">
      <alignment horizontal="center" vertical="top" wrapText="1"/>
    </xf>
    <xf numFmtId="1" fontId="264" fillId="0" borderId="0" xfId="0" applyNumberFormat="1" applyFont="1" applyFill="1" applyBorder="1" applyAlignment="1">
      <alignment horizontal="center" vertical="top" wrapText="1"/>
    </xf>
    <xf numFmtId="0" fontId="340" fillId="0" borderId="0" xfId="0" applyFont="1" applyFill="1" applyBorder="1" applyAlignment="1">
      <alignment horizontal="center" vertical="top" wrapText="1"/>
    </xf>
    <xf numFmtId="0" fontId="264" fillId="0" borderId="0" xfId="0" applyFont="1" applyBorder="1" applyAlignment="1">
      <alignment horizontal="center" vertical="top" wrapText="1"/>
    </xf>
    <xf numFmtId="0" fontId="231" fillId="0" borderId="0" xfId="0" applyFont="1" applyFill="1" applyBorder="1" applyAlignment="1">
      <alignment horizontal="center" vertical="top" wrapText="1"/>
    </xf>
    <xf numFmtId="0" fontId="27" fillId="0" borderId="0" xfId="0" applyFont="1" applyFill="1" applyAlignment="1">
      <alignment horizontal="right" vertical="top" wrapText="1"/>
    </xf>
    <xf numFmtId="0" fontId="270" fillId="0" borderId="0" xfId="0" applyFont="1" applyFill="1" applyAlignment="1">
      <alignment horizontal="left" vertical="top" wrapText="1"/>
    </xf>
    <xf numFmtId="166" fontId="206" fillId="0" borderId="1" xfId="0" applyNumberFormat="1" applyFont="1" applyFill="1" applyBorder="1" applyAlignment="1">
      <alignment horizontal="center" vertical="center"/>
    </xf>
    <xf numFmtId="0" fontId="264" fillId="0" borderId="0" xfId="0" applyFont="1" applyFill="1" applyAlignment="1">
      <alignment horizontal="center"/>
    </xf>
    <xf numFmtId="0" fontId="336" fillId="0" borderId="0" xfId="0" applyFont="1" applyAlignment="1">
      <alignment horizontal="center" vertical="center"/>
    </xf>
    <xf numFmtId="0" fontId="264" fillId="0" borderId="0" xfId="0" applyFont="1" applyBorder="1" applyAlignment="1">
      <alignment horizontal="center" vertical="center"/>
    </xf>
    <xf numFmtId="0" fontId="264" fillId="20" borderId="1" xfId="0" applyFont="1" applyFill="1" applyBorder="1" applyAlignment="1">
      <alignment horizontal="center" vertical="center"/>
    </xf>
    <xf numFmtId="0" fontId="336" fillId="0" borderId="0" xfId="0" applyFont="1" applyFill="1" applyBorder="1" applyAlignment="1">
      <alignment horizontal="center" vertical="center"/>
    </xf>
    <xf numFmtId="0" fontId="338" fillId="21" borderId="0" xfId="0" applyFont="1" applyFill="1" applyBorder="1"/>
    <xf numFmtId="0" fontId="362" fillId="0" borderId="0" xfId="0" applyFont="1" applyAlignment="1">
      <alignment horizontal="left" vertical="top" wrapText="1"/>
    </xf>
    <xf numFmtId="0" fontId="362" fillId="0" borderId="0" xfId="0" applyFont="1" applyAlignment="1">
      <alignment vertical="top" wrapText="1"/>
    </xf>
    <xf numFmtId="0" fontId="361" fillId="0" borderId="0" xfId="0" applyFont="1" applyFill="1"/>
    <xf numFmtId="0" fontId="235" fillId="0" borderId="0" xfId="0" applyFont="1" applyAlignment="1">
      <alignment horizontal="center"/>
    </xf>
    <xf numFmtId="0" fontId="228" fillId="0" borderId="0" xfId="0" applyFont="1" applyFill="1" applyAlignment="1">
      <alignment vertical="top" wrapText="1"/>
    </xf>
    <xf numFmtId="0" fontId="0" fillId="0" borderId="0" xfId="0" applyFill="1" applyAlignment="1">
      <alignment horizontal="left" vertical="top" wrapText="1"/>
    </xf>
    <xf numFmtId="0" fontId="202" fillId="0" borderId="0" xfId="0" applyFont="1" applyFill="1" applyAlignment="1">
      <alignment horizontal="center" vertical="top" wrapText="1"/>
    </xf>
    <xf numFmtId="0" fontId="0" fillId="0" borderId="0" xfId="0" applyFill="1" applyAlignment="1"/>
    <xf numFmtId="0" fontId="202" fillId="0" borderId="0" xfId="0" applyFont="1" applyFill="1" applyAlignment="1">
      <alignment horizontal="right" vertical="top" wrapText="1"/>
    </xf>
    <xf numFmtId="0" fontId="0" fillId="0" borderId="0" xfId="0" applyFill="1" applyBorder="1" applyAlignment="1">
      <alignment vertical="top" wrapText="1"/>
    </xf>
    <xf numFmtId="0" fontId="220" fillId="0" borderId="0" xfId="0" applyFont="1" applyFill="1" applyBorder="1" applyAlignment="1">
      <alignment horizontal="right" vertical="top" wrapText="1"/>
    </xf>
    <xf numFmtId="0" fontId="41" fillId="0" borderId="2" xfId="0" applyFont="1" applyFill="1" applyBorder="1" applyAlignment="1">
      <alignment vertical="top" wrapText="1"/>
    </xf>
    <xf numFmtId="0" fontId="59" fillId="0" borderId="0" xfId="0" applyFont="1" applyFill="1" applyAlignment="1">
      <alignment horizontal="left" vertical="top" wrapText="1"/>
    </xf>
    <xf numFmtId="0" fontId="210" fillId="0" borderId="1" xfId="0" applyFont="1" applyFill="1" applyBorder="1" applyAlignment="1">
      <alignment vertical="top" wrapText="1"/>
    </xf>
    <xf numFmtId="0" fontId="96" fillId="0" borderId="0" xfId="0" applyFont="1" applyAlignment="1">
      <alignment vertical="top" wrapText="1"/>
    </xf>
    <xf numFmtId="0" fontId="39" fillId="0" borderId="1" xfId="0" applyFont="1" applyFill="1" applyBorder="1" applyAlignment="1">
      <alignment vertical="top" wrapText="1"/>
    </xf>
    <xf numFmtId="0" fontId="39" fillId="0" borderId="0" xfId="2" applyFont="1" applyAlignment="1">
      <alignment vertical="top" wrapText="1"/>
    </xf>
    <xf numFmtId="0" fontId="208" fillId="0" borderId="0" xfId="0" applyFont="1" applyFill="1" applyBorder="1" applyAlignment="1">
      <alignment horizontal="right" vertical="top" wrapText="1"/>
    </xf>
    <xf numFmtId="0" fontId="364" fillId="0" borderId="0" xfId="0" applyFont="1" applyFill="1" applyBorder="1" applyAlignment="1">
      <alignment vertical="top" wrapText="1"/>
    </xf>
    <xf numFmtId="0" fontId="362" fillId="0" borderId="0" xfId="0" applyFont="1" applyFill="1" applyAlignment="1">
      <alignment horizontal="left" vertical="top" wrapText="1"/>
    </xf>
    <xf numFmtId="0" fontId="362" fillId="0" borderId="0" xfId="0" applyFont="1" applyFill="1" applyAlignment="1">
      <alignment vertical="top" wrapText="1"/>
    </xf>
    <xf numFmtId="164" fontId="362" fillId="0" borderId="0" xfId="0" applyNumberFormat="1" applyFont="1" applyFill="1" applyAlignment="1">
      <alignment vertical="top" wrapText="1"/>
    </xf>
    <xf numFmtId="0" fontId="0" fillId="0" borderId="0" xfId="0" applyFill="1" applyBorder="1" applyAlignment="1">
      <alignment vertical="top"/>
    </xf>
    <xf numFmtId="0" fontId="235" fillId="0" borderId="1" xfId="0" applyFont="1" applyBorder="1" applyAlignment="1">
      <alignment horizontal="center"/>
    </xf>
    <xf numFmtId="164" fontId="206" fillId="0" borderId="1" xfId="0" applyNumberFormat="1" applyFont="1" applyFill="1" applyBorder="1" applyAlignment="1">
      <alignment horizontal="center"/>
    </xf>
    <xf numFmtId="164" fontId="206" fillId="0" borderId="0" xfId="0" applyNumberFormat="1" applyFont="1" applyFill="1" applyBorder="1" applyAlignment="1">
      <alignment horizontal="center"/>
    </xf>
    <xf numFmtId="3" fontId="206" fillId="0" borderId="2" xfId="0" applyNumberFormat="1" applyFont="1" applyFill="1" applyBorder="1" applyAlignment="1">
      <alignment horizontal="center" vertical="center"/>
    </xf>
    <xf numFmtId="3" fontId="206" fillId="0" borderId="0" xfId="0" applyNumberFormat="1" applyFont="1" applyFill="1" applyAlignment="1">
      <alignment horizontal="center" vertical="center"/>
    </xf>
    <xf numFmtId="0" fontId="0" fillId="0" borderId="2" xfId="0" applyFont="1" applyFill="1" applyBorder="1" applyAlignment="1">
      <alignment vertical="top" wrapText="1"/>
    </xf>
    <xf numFmtId="164" fontId="220" fillId="0" borderId="0" xfId="0" applyNumberFormat="1" applyFont="1" applyFill="1" applyBorder="1" applyAlignment="1">
      <alignment horizontal="right" vertical="top" wrapText="1"/>
    </xf>
    <xf numFmtId="0" fontId="208" fillId="0" borderId="0" xfId="0" applyFont="1" applyBorder="1" applyAlignment="1">
      <alignment horizontal="left" vertical="top" wrapText="1"/>
    </xf>
    <xf numFmtId="0" fontId="202" fillId="0" borderId="0" xfId="0" applyFont="1" applyAlignment="1">
      <alignment horizontal="right" vertical="top" wrapText="1"/>
    </xf>
    <xf numFmtId="0" fontId="264" fillId="0" borderId="0" xfId="0" applyFont="1" applyFill="1" applyBorder="1" applyAlignment="1">
      <alignment horizontal="center" vertical="top" wrapText="1"/>
    </xf>
    <xf numFmtId="0" fontId="220" fillId="0" borderId="1" xfId="0" applyFont="1" applyFill="1" applyBorder="1" applyAlignment="1">
      <alignment horizontal="left" vertical="top" wrapText="1"/>
    </xf>
    <xf numFmtId="0" fontId="228" fillId="0" borderId="0" xfId="0" applyFont="1" applyFill="1" applyBorder="1"/>
    <xf numFmtId="0" fontId="208" fillId="0" borderId="0" xfId="0" applyFont="1" applyFill="1" applyBorder="1" applyAlignment="1">
      <alignment horizontal="center" vertical="top" wrapText="1"/>
    </xf>
    <xf numFmtId="0" fontId="210" fillId="0" borderId="1" xfId="0" applyFont="1" applyBorder="1" applyAlignment="1">
      <alignment vertical="top" wrapText="1"/>
    </xf>
    <xf numFmtId="3" fontId="212" fillId="0" borderId="0" xfId="0" applyNumberFormat="1" applyFont="1" applyFill="1" applyAlignment="1">
      <alignment horizontal="center" vertical="center"/>
    </xf>
    <xf numFmtId="0" fontId="340" fillId="0" borderId="0" xfId="0" applyFont="1" applyAlignment="1">
      <alignment horizontal="center" vertical="top" wrapText="1"/>
    </xf>
    <xf numFmtId="0" fontId="202" fillId="0" borderId="0" xfId="0" applyFont="1" applyFill="1" applyAlignment="1">
      <alignment horizontal="right" vertical="top" wrapText="1"/>
    </xf>
    <xf numFmtId="0" fontId="202" fillId="0" borderId="0" xfId="0" applyFont="1" applyFill="1" applyAlignment="1">
      <alignment horizontal="center" vertical="top" wrapText="1"/>
    </xf>
    <xf numFmtId="0" fontId="34" fillId="0" borderId="0" xfId="0" applyFont="1" applyFill="1" applyAlignment="1">
      <alignment horizontal="left" vertical="top" wrapText="1"/>
    </xf>
    <xf numFmtId="0" fontId="208" fillId="0" borderId="0" xfId="0" applyFont="1" applyFill="1" applyBorder="1" applyAlignment="1">
      <alignment horizontal="right" vertical="top" wrapText="1"/>
    </xf>
    <xf numFmtId="0" fontId="336" fillId="13" borderId="0" xfId="0" applyFont="1" applyFill="1" applyBorder="1" applyAlignment="1">
      <alignment horizontal="center" vertical="center"/>
    </xf>
    <xf numFmtId="0" fontId="41" fillId="0" borderId="2" xfId="0" applyFont="1" applyFill="1" applyBorder="1" applyAlignment="1">
      <alignment vertical="top" wrapText="1"/>
    </xf>
    <xf numFmtId="0" fontId="220" fillId="0" borderId="0" xfId="0" applyFont="1" applyFill="1" applyBorder="1" applyAlignment="1">
      <alignment horizontal="right" vertical="top" wrapText="1"/>
    </xf>
    <xf numFmtId="0" fontId="96" fillId="0" borderId="0" xfId="0" applyFont="1" applyAlignment="1">
      <alignment vertical="top" wrapText="1"/>
    </xf>
    <xf numFmtId="0" fontId="210" fillId="0" borderId="1" xfId="0" applyFont="1" applyFill="1" applyBorder="1" applyAlignment="1">
      <alignment vertical="top" wrapText="1"/>
    </xf>
    <xf numFmtId="0" fontId="39" fillId="0" borderId="0" xfId="2" applyFont="1" applyAlignment="1">
      <alignment vertical="top" wrapText="1"/>
    </xf>
    <xf numFmtId="0" fontId="264" fillId="0" borderId="0" xfId="0" applyFont="1" applyAlignment="1">
      <alignment horizontal="center"/>
    </xf>
    <xf numFmtId="0" fontId="338" fillId="21" borderId="0" xfId="0" applyFont="1" applyFill="1" applyBorder="1" applyAlignment="1">
      <alignment vertical="center"/>
    </xf>
    <xf numFmtId="0" fontId="264" fillId="0" borderId="0" xfId="0" applyFont="1" applyAlignment="1">
      <alignment vertical="center"/>
    </xf>
    <xf numFmtId="0" fontId="368" fillId="0" borderId="0" xfId="0" applyFont="1" applyAlignment="1">
      <alignment horizontal="center" vertical="center"/>
    </xf>
    <xf numFmtId="164" fontId="369" fillId="0" borderId="0" xfId="0" applyNumberFormat="1" applyFont="1" applyAlignment="1">
      <alignment horizontal="center" vertical="center"/>
    </xf>
    <xf numFmtId="164" fontId="369" fillId="0" borderId="0" xfId="0" applyNumberFormat="1" applyFont="1" applyFill="1" applyAlignment="1">
      <alignment vertical="center"/>
    </xf>
    <xf numFmtId="1" fontId="206" fillId="0" borderId="0" xfId="0" applyNumberFormat="1" applyFont="1" applyFill="1" applyAlignment="1">
      <alignment horizontal="center" vertical="center"/>
    </xf>
    <xf numFmtId="0" fontId="208" fillId="0" borderId="1" xfId="0" applyFont="1" applyBorder="1" applyAlignment="1">
      <alignment horizontal="left" vertical="top" wrapText="1"/>
    </xf>
    <xf numFmtId="0" fontId="206" fillId="0" borderId="2" xfId="0" applyFont="1" applyFill="1" applyBorder="1" applyAlignment="1">
      <alignment horizontal="center" vertical="center"/>
    </xf>
    <xf numFmtId="0" fontId="208" fillId="0" borderId="2" xfId="0" applyFont="1" applyFill="1" applyBorder="1" applyAlignment="1">
      <alignment vertical="top" wrapText="1"/>
    </xf>
    <xf numFmtId="0" fontId="206" fillId="0" borderId="1" xfId="1" applyFont="1" applyFill="1" applyBorder="1" applyAlignment="1">
      <alignment horizontal="center" vertical="center"/>
    </xf>
    <xf numFmtId="0" fontId="216" fillId="0" borderId="1" xfId="0" applyFont="1" applyBorder="1" applyAlignment="1">
      <alignment vertical="top" wrapText="1"/>
    </xf>
    <xf numFmtId="164" fontId="206" fillId="0" borderId="0" xfId="0" applyNumberFormat="1" applyFont="1" applyFill="1" applyBorder="1" applyAlignment="1">
      <alignment horizontal="center" vertical="center"/>
    </xf>
    <xf numFmtId="164" fontId="206" fillId="0" borderId="1" xfId="0" applyNumberFormat="1" applyFont="1" applyFill="1" applyBorder="1" applyAlignment="1">
      <alignment horizontal="center" vertical="center"/>
    </xf>
    <xf numFmtId="0" fontId="264" fillId="0" borderId="0" xfId="0" applyFont="1" applyAlignment="1">
      <alignment horizontal="center" vertical="center"/>
    </xf>
    <xf numFmtId="0" fontId="264" fillId="0" borderId="1" xfId="0" applyFont="1" applyBorder="1" applyAlignment="1">
      <alignment horizontal="center" vertical="center"/>
    </xf>
    <xf numFmtId="0" fontId="264" fillId="0" borderId="0" xfId="0" applyFont="1" applyFill="1" applyBorder="1" applyAlignment="1">
      <alignment horizontal="center" vertical="center"/>
    </xf>
    <xf numFmtId="0" fontId="206" fillId="0" borderId="1" xfId="0" applyFont="1" applyFill="1" applyBorder="1" applyAlignment="1">
      <alignment horizontal="center"/>
    </xf>
    <xf numFmtId="0" fontId="206" fillId="0" borderId="0" xfId="0" applyFont="1" applyFill="1" applyBorder="1" applyAlignment="1">
      <alignment horizontal="center"/>
    </xf>
    <xf numFmtId="0" fontId="264" fillId="0" borderId="0" xfId="0" applyFont="1" applyFill="1" applyAlignment="1">
      <alignment horizontal="center" vertical="top" wrapText="1"/>
    </xf>
    <xf numFmtId="0" fontId="220" fillId="0" borderId="0" xfId="0" applyFont="1" applyFill="1" applyBorder="1" applyAlignment="1">
      <alignment horizontal="left" vertical="top" wrapText="1"/>
    </xf>
    <xf numFmtId="0" fontId="208" fillId="0" borderId="0" xfId="0" applyFont="1" applyFill="1" applyAlignment="1">
      <alignment vertical="top" wrapText="1"/>
    </xf>
    <xf numFmtId="164" fontId="202" fillId="0" borderId="0" xfId="0" applyNumberFormat="1" applyFont="1" applyFill="1" applyBorder="1" applyAlignment="1">
      <alignment horizontal="right" vertical="top" wrapText="1"/>
    </xf>
    <xf numFmtId="1" fontId="212" fillId="0" borderId="0" xfId="0" applyNumberFormat="1" applyFont="1" applyBorder="1" applyAlignment="1">
      <alignment horizontal="center" vertical="center"/>
    </xf>
    <xf numFmtId="0" fontId="224" fillId="0" borderId="0" xfId="0" applyFont="1" applyFill="1" applyBorder="1" applyAlignment="1">
      <alignment horizontal="right" vertical="top" wrapText="1"/>
    </xf>
    <xf numFmtId="1" fontId="206" fillId="0" borderId="0" xfId="0" applyNumberFormat="1" applyFont="1" applyFill="1" applyBorder="1" applyAlignment="1">
      <alignment horizontal="center"/>
    </xf>
    <xf numFmtId="0" fontId="206" fillId="0" borderId="0" xfId="0" applyFont="1" applyFill="1" applyBorder="1" applyAlignment="1">
      <alignment horizontal="center" vertical="top" wrapText="1"/>
    </xf>
    <xf numFmtId="0" fontId="206" fillId="0" borderId="0" xfId="0" applyFont="1" applyFill="1" applyAlignment="1">
      <alignment horizontal="center" vertical="top" wrapText="1"/>
    </xf>
    <xf numFmtId="0" fontId="212" fillId="0" borderId="1" xfId="0" applyFont="1" applyBorder="1" applyAlignment="1">
      <alignment horizontal="center" vertical="center"/>
    </xf>
    <xf numFmtId="0" fontId="208" fillId="0" borderId="1" xfId="0" applyFont="1" applyFill="1" applyBorder="1" applyAlignment="1">
      <alignment horizontal="left" vertical="top" wrapText="1"/>
    </xf>
    <xf numFmtId="0" fontId="264" fillId="0" borderId="2" xfId="0" applyFont="1" applyBorder="1" applyAlignment="1">
      <alignment horizontal="center" vertical="center"/>
    </xf>
    <xf numFmtId="0" fontId="337" fillId="0" borderId="0" xfId="0" applyFont="1" applyAlignment="1">
      <alignment horizontal="left" vertical="center" wrapText="1"/>
    </xf>
    <xf numFmtId="0" fontId="373" fillId="0" borderId="1" xfId="0" applyFont="1" applyFill="1" applyBorder="1" applyAlignment="1">
      <alignment horizontal="center" vertical="center"/>
    </xf>
    <xf numFmtId="0" fontId="220" fillId="0" borderId="1" xfId="0" applyFont="1" applyFill="1" applyBorder="1" applyAlignment="1">
      <alignment vertical="top" wrapText="1"/>
    </xf>
    <xf numFmtId="0" fontId="212" fillId="0" borderId="0" xfId="0" applyFont="1" applyFill="1" applyAlignment="1">
      <alignment horizontal="center" vertical="center"/>
    </xf>
    <xf numFmtId="0" fontId="231" fillId="0" borderId="0" xfId="0" applyFont="1" applyAlignment="1">
      <alignment horizontal="center" vertical="top" wrapText="1"/>
    </xf>
    <xf numFmtId="0" fontId="202" fillId="0" borderId="0" xfId="0" applyFont="1" applyFill="1" applyBorder="1" applyAlignment="1">
      <alignment horizontal="right" vertical="top" wrapText="1"/>
    </xf>
    <xf numFmtId="0" fontId="264" fillId="20" borderId="0" xfId="0" applyFont="1" applyFill="1" applyBorder="1"/>
    <xf numFmtId="0" fontId="264" fillId="0" borderId="0" xfId="0" applyFont="1" applyAlignment="1">
      <alignment horizontal="left" vertical="top" wrapText="1"/>
    </xf>
    <xf numFmtId="0" fontId="368" fillId="0" borderId="0" xfId="0" applyFont="1" applyAlignment="1">
      <alignment horizontal="center"/>
    </xf>
    <xf numFmtId="164" fontId="369" fillId="0" borderId="0" xfId="0" applyNumberFormat="1" applyFont="1" applyAlignment="1">
      <alignment horizontal="center"/>
    </xf>
    <xf numFmtId="164" fontId="369" fillId="0" borderId="0" xfId="0" applyNumberFormat="1" applyFont="1" applyFill="1"/>
    <xf numFmtId="0" fontId="208" fillId="0" borderId="0" xfId="0" applyFont="1" applyBorder="1" applyAlignment="1">
      <alignment vertical="top" wrapText="1"/>
    </xf>
    <xf numFmtId="0" fontId="207" fillId="0" borderId="0" xfId="0" applyFont="1" applyFill="1" applyAlignment="1">
      <alignment vertical="top" wrapText="1"/>
    </xf>
    <xf numFmtId="0" fontId="202" fillId="0" borderId="0" xfId="0" applyFont="1" applyFill="1" applyAlignment="1">
      <alignment horizontal="center" vertical="top" wrapText="1"/>
    </xf>
    <xf numFmtId="0" fontId="39" fillId="0" borderId="0" xfId="0" applyFont="1" applyFill="1" applyAlignment="1">
      <alignment vertical="top" wrapText="1"/>
    </xf>
    <xf numFmtId="0" fontId="41" fillId="0" borderId="2" xfId="0" applyFont="1" applyFill="1" applyBorder="1" applyAlignment="1">
      <alignment vertical="top" wrapText="1"/>
    </xf>
    <xf numFmtId="0" fontId="208" fillId="0" borderId="0" xfId="0" applyFont="1" applyFill="1" applyBorder="1" applyAlignment="1">
      <alignment horizontal="right" vertical="top" wrapText="1"/>
    </xf>
    <xf numFmtId="0" fontId="210" fillId="0" borderId="1" xfId="0" applyFont="1" applyFill="1" applyBorder="1" applyAlignment="1">
      <alignment vertical="top" wrapText="1"/>
    </xf>
    <xf numFmtId="164" fontId="126" fillId="0" borderId="0" xfId="0" applyNumberFormat="1" applyFont="1" applyFill="1" applyBorder="1" applyAlignment="1">
      <alignment horizontal="center"/>
    </xf>
    <xf numFmtId="0" fontId="0" fillId="0" borderId="0" xfId="0" applyFont="1" applyFill="1" applyAlignment="1">
      <alignment horizontal="left" vertical="top" wrapText="1"/>
    </xf>
    <xf numFmtId="164" fontId="9" fillId="0" borderId="0" xfId="0" applyNumberFormat="1" applyFont="1" applyFill="1" applyAlignment="1">
      <alignment horizontal="center"/>
    </xf>
    <xf numFmtId="0" fontId="0" fillId="0" borderId="0" xfId="0" applyFont="1" applyFill="1"/>
    <xf numFmtId="1" fontId="212" fillId="0" borderId="1" xfId="0" applyNumberFormat="1" applyFont="1" applyFill="1" applyBorder="1" applyAlignment="1">
      <alignment horizontal="center" vertical="center"/>
    </xf>
    <xf numFmtId="0" fontId="202" fillId="0" borderId="0" xfId="0" applyFont="1" applyFill="1" applyBorder="1" applyAlignment="1">
      <alignment horizontal="left" vertical="top" wrapText="1"/>
    </xf>
    <xf numFmtId="0" fontId="73" fillId="0" borderId="0" xfId="0" applyFont="1" applyFill="1" applyBorder="1" applyAlignment="1">
      <alignment horizontal="right" vertical="top" wrapText="1"/>
    </xf>
    <xf numFmtId="0" fontId="336" fillId="13" borderId="0" xfId="0" applyFont="1" applyFill="1" applyBorder="1" applyAlignment="1">
      <alignment horizontal="left" vertical="center"/>
    </xf>
    <xf numFmtId="0" fontId="376" fillId="21" borderId="0" xfId="0" applyFont="1" applyFill="1" applyBorder="1" applyAlignment="1">
      <alignment horizontal="center" vertical="center"/>
    </xf>
    <xf numFmtId="0" fontId="264" fillId="0" borderId="0" xfId="0" applyFont="1" applyFill="1" applyBorder="1"/>
    <xf numFmtId="4" fontId="364" fillId="0" borderId="0" xfId="0" applyNumberFormat="1" applyFont="1"/>
    <xf numFmtId="0" fontId="368" fillId="0" borderId="0" xfId="0" applyFont="1"/>
    <xf numFmtId="0" fontId="202" fillId="0" borderId="0" xfId="0" applyFont="1" applyFill="1" applyBorder="1" applyAlignment="1">
      <alignment vertical="top" wrapText="1"/>
    </xf>
    <xf numFmtId="0" fontId="377" fillId="0" borderId="0" xfId="0" applyFont="1" applyAlignment="1">
      <alignment vertical="top" wrapText="1"/>
    </xf>
    <xf numFmtId="0" fontId="264" fillId="0" borderId="0" xfId="0" applyFont="1" applyAlignment="1">
      <alignment horizontal="left" vertical="center" wrapText="1"/>
    </xf>
    <xf numFmtId="0" fontId="208" fillId="0" borderId="1" xfId="0" applyFont="1" applyFill="1" applyBorder="1" applyAlignment="1">
      <alignment vertical="top" wrapText="1"/>
    </xf>
    <xf numFmtId="164" fontId="202" fillId="0" borderId="1" xfId="0" applyNumberFormat="1" applyFont="1" applyBorder="1" applyAlignment="1">
      <alignment horizontal="right" vertical="top" wrapText="1"/>
    </xf>
    <xf numFmtId="164" fontId="202" fillId="0" borderId="1" xfId="0" applyNumberFormat="1" applyFont="1" applyBorder="1" applyAlignment="1">
      <alignment horizontal="left" vertical="top" wrapText="1"/>
    </xf>
    <xf numFmtId="0" fontId="216" fillId="0" borderId="1" xfId="0" applyFont="1" applyFill="1" applyBorder="1" applyAlignment="1">
      <alignment vertical="top" wrapText="1"/>
    </xf>
    <xf numFmtId="0" fontId="73" fillId="0" borderId="0" xfId="0" applyFont="1" applyAlignment="1">
      <alignment horizontal="right" vertical="top" wrapText="1"/>
    </xf>
    <xf numFmtId="0" fontId="380" fillId="20" borderId="2" xfId="0" applyFont="1" applyFill="1" applyBorder="1" applyAlignment="1">
      <alignment vertical="top" wrapText="1"/>
    </xf>
    <xf numFmtId="0" fontId="264" fillId="0" borderId="0" xfId="0" applyFont="1" applyFill="1" applyAlignment="1">
      <alignment horizontal="right" vertical="center"/>
    </xf>
    <xf numFmtId="0" fontId="368" fillId="0" borderId="0" xfId="0" applyFont="1" applyFill="1" applyAlignment="1">
      <alignment horizontal="center" vertical="center"/>
    </xf>
    <xf numFmtId="164" fontId="369" fillId="0" borderId="0" xfId="0" applyNumberFormat="1" applyFont="1" applyFill="1" applyAlignment="1">
      <alignment horizontal="center" vertical="center"/>
    </xf>
    <xf numFmtId="1" fontId="206" fillId="0" borderId="1" xfId="0" applyNumberFormat="1" applyFont="1" applyBorder="1" applyAlignment="1">
      <alignment horizontal="center" vertical="center"/>
    </xf>
    <xf numFmtId="0" fontId="202" fillId="0" borderId="0" xfId="0" applyFont="1" applyFill="1" applyAlignment="1">
      <alignment horizontal="right" vertical="top" wrapText="1"/>
    </xf>
    <xf numFmtId="0" fontId="270" fillId="0" borderId="0" xfId="0" applyFont="1" applyFill="1" applyAlignment="1">
      <alignment horizontal="center" vertical="top" wrapText="1"/>
    </xf>
    <xf numFmtId="0" fontId="202" fillId="0" borderId="0" xfId="0" applyFont="1" applyFill="1" applyAlignment="1">
      <alignment horizontal="center" vertical="top" wrapText="1"/>
    </xf>
    <xf numFmtId="0" fontId="29" fillId="0" borderId="0" xfId="0" applyFont="1" applyFill="1" applyAlignment="1">
      <alignment horizontal="center" vertical="top" wrapText="1"/>
    </xf>
    <xf numFmtId="0" fontId="208" fillId="0" borderId="0" xfId="0" applyFont="1" applyFill="1" applyBorder="1" applyAlignment="1">
      <alignment horizontal="right" vertical="top" wrapText="1"/>
    </xf>
    <xf numFmtId="0" fontId="39" fillId="0" borderId="0" xfId="0" applyFont="1" applyFill="1" applyAlignment="1">
      <alignment vertical="top" wrapText="1"/>
    </xf>
    <xf numFmtId="0" fontId="259" fillId="0" borderId="0" xfId="0" applyFont="1" applyBorder="1" applyAlignment="1">
      <alignment vertical="top" wrapText="1"/>
    </xf>
    <xf numFmtId="0" fontId="39" fillId="0" borderId="0" xfId="0" applyFont="1" applyFill="1" applyBorder="1" applyAlignment="1">
      <alignment horizontal="right" vertical="top" wrapText="1"/>
    </xf>
    <xf numFmtId="0" fontId="39" fillId="0" borderId="0" xfId="0" applyFont="1" applyFill="1" applyBorder="1" applyAlignment="1">
      <alignment vertical="top" wrapText="1"/>
    </xf>
    <xf numFmtId="0" fontId="264" fillId="0" borderId="3" xfId="0" applyFont="1" applyBorder="1" applyAlignment="1">
      <alignment horizontal="center" vertical="center"/>
    </xf>
    <xf numFmtId="0" fontId="331" fillId="4" borderId="0" xfId="0" applyFont="1" applyFill="1" applyBorder="1"/>
    <xf numFmtId="0" fontId="369" fillId="0" borderId="0" xfId="0" applyFont="1" applyFill="1" applyBorder="1" applyAlignment="1">
      <alignment horizontal="center" vertical="top" wrapText="1"/>
    </xf>
    <xf numFmtId="0" fontId="369" fillId="0" borderId="0" xfId="0" applyFont="1" applyFill="1" applyAlignment="1">
      <alignment horizontal="center" vertical="top" wrapText="1"/>
    </xf>
    <xf numFmtId="0" fontId="361" fillId="0" borderId="0" xfId="0" applyFont="1" applyFill="1" applyBorder="1" applyAlignment="1">
      <alignment horizontal="center" vertical="top" wrapText="1"/>
    </xf>
    <xf numFmtId="3" fontId="264" fillId="0" borderId="0" xfId="0" applyNumberFormat="1" applyFont="1"/>
    <xf numFmtId="0" fontId="61" fillId="0" borderId="0" xfId="0" applyFont="1" applyFill="1" applyBorder="1" applyAlignment="1">
      <alignment horizontal="right" vertical="top" wrapText="1"/>
    </xf>
    <xf numFmtId="0" fontId="331" fillId="4" borderId="0" xfId="0" applyFont="1" applyFill="1"/>
    <xf numFmtId="0" fontId="361" fillId="0" borderId="0" xfId="0" applyFont="1" applyFill="1" applyBorder="1" applyAlignment="1"/>
    <xf numFmtId="0" fontId="361" fillId="0" borderId="0" xfId="0" applyFont="1" applyBorder="1"/>
    <xf numFmtId="0" fontId="361" fillId="0" borderId="0" xfId="0" applyFont="1"/>
    <xf numFmtId="0" fontId="382" fillId="0" borderId="0" xfId="0" applyFont="1"/>
    <xf numFmtId="3" fontId="208" fillId="0" borderId="0" xfId="0" applyNumberFormat="1" applyFont="1" applyFill="1" applyBorder="1" applyAlignment="1">
      <alignment horizontal="right" vertical="top" wrapText="1"/>
    </xf>
    <xf numFmtId="3" fontId="206" fillId="0" borderId="0" xfId="0" applyNumberFormat="1" applyFont="1" applyFill="1" applyBorder="1" applyAlignment="1">
      <alignment horizontal="center"/>
    </xf>
    <xf numFmtId="0" fontId="208" fillId="0" borderId="0" xfId="0" applyFont="1" applyFill="1" applyBorder="1" applyAlignment="1">
      <alignment horizontal="left" vertical="top" wrapText="1"/>
    </xf>
    <xf numFmtId="0" fontId="235" fillId="0" borderId="1" xfId="0" applyFont="1" applyFill="1" applyBorder="1" applyAlignment="1">
      <alignment horizontal="center"/>
    </xf>
    <xf numFmtId="0" fontId="45" fillId="22" borderId="0" xfId="0" applyFont="1" applyFill="1" applyBorder="1" applyAlignment="1"/>
    <xf numFmtId="164" fontId="7" fillId="15" borderId="0" xfId="0" applyNumberFormat="1" applyFont="1" applyFill="1" applyBorder="1" applyAlignment="1">
      <alignment horizontal="center" vertical="center"/>
    </xf>
    <xf numFmtId="0" fontId="267" fillId="0" borderId="1" xfId="0" applyFont="1" applyFill="1" applyBorder="1" applyAlignment="1">
      <alignment horizontal="center" vertical="top" wrapText="1"/>
    </xf>
    <xf numFmtId="0" fontId="235" fillId="0" borderId="1" xfId="0" applyFont="1" applyFill="1" applyBorder="1" applyAlignment="1">
      <alignment horizontal="center" vertical="top" wrapText="1"/>
    </xf>
    <xf numFmtId="0" fontId="34" fillId="16" borderId="1" xfId="0" applyFont="1" applyFill="1" applyBorder="1" applyAlignment="1">
      <alignment horizontal="center" vertical="top" wrapText="1"/>
    </xf>
    <xf numFmtId="0" fontId="206" fillId="16" borderId="1" xfId="0" applyFont="1" applyFill="1" applyBorder="1" applyAlignment="1">
      <alignment horizontal="center" vertical="top" wrapText="1"/>
    </xf>
    <xf numFmtId="0" fontId="209" fillId="16" borderId="2" xfId="0" applyFont="1" applyFill="1" applyBorder="1" applyAlignment="1">
      <alignment horizontal="center" vertical="top" wrapText="1"/>
    </xf>
    <xf numFmtId="3" fontId="206" fillId="16" borderId="1" xfId="0" applyNumberFormat="1" applyFont="1" applyFill="1" applyBorder="1" applyAlignment="1">
      <alignment horizontal="center" vertical="center"/>
    </xf>
    <xf numFmtId="0" fontId="209" fillId="16" borderId="0" xfId="0" applyFont="1" applyFill="1" applyBorder="1" applyAlignment="1">
      <alignment horizontal="center" vertical="center"/>
    </xf>
    <xf numFmtId="0" fontId="385" fillId="4" borderId="0" xfId="0" applyFont="1" applyFill="1" applyBorder="1" applyAlignment="1">
      <alignment horizontal="right"/>
    </xf>
    <xf numFmtId="0" fontId="337" fillId="0" borderId="0" xfId="0" applyFont="1" applyFill="1" applyBorder="1" applyAlignment="1">
      <alignment horizontal="right"/>
    </xf>
    <xf numFmtId="1" fontId="358" fillId="0" borderId="0" xfId="0" applyNumberFormat="1" applyFont="1" applyFill="1" applyAlignment="1">
      <alignment horizontal="center"/>
    </xf>
    <xf numFmtId="164" fontId="369" fillId="0" borderId="0" xfId="0" applyNumberFormat="1" applyFont="1" applyFill="1" applyAlignment="1">
      <alignment horizontal="center"/>
    </xf>
    <xf numFmtId="3" fontId="263" fillId="0" borderId="0" xfId="0" applyNumberFormat="1" applyFont="1" applyFill="1" applyAlignment="1">
      <alignment horizontal="center"/>
    </xf>
    <xf numFmtId="164" fontId="364" fillId="0" borderId="0" xfId="0" applyNumberFormat="1" applyFont="1" applyFill="1" applyAlignment="1">
      <alignment horizontal="center"/>
    </xf>
    <xf numFmtId="3" fontId="338" fillId="0" borderId="0" xfId="0" applyNumberFormat="1" applyFont="1" applyFill="1" applyAlignment="1">
      <alignment horizontal="center"/>
    </xf>
    <xf numFmtId="0" fontId="358" fillId="0" borderId="0" xfId="0" applyFont="1" applyFill="1"/>
    <xf numFmtId="3" fontId="376" fillId="0" borderId="0" xfId="0" applyNumberFormat="1" applyFont="1" applyFill="1"/>
    <xf numFmtId="0" fontId="376" fillId="0" borderId="0" xfId="0" applyFont="1" applyFill="1" applyAlignment="1">
      <alignment horizontal="right"/>
    </xf>
    <xf numFmtId="0" fontId="376" fillId="0" borderId="0" xfId="0" applyFont="1" applyFill="1"/>
    <xf numFmtId="0" fontId="338" fillId="0" borderId="0" xfId="0" applyFont="1" applyFill="1"/>
    <xf numFmtId="3" fontId="208" fillId="0" borderId="0" xfId="0" applyNumberFormat="1" applyFont="1" applyBorder="1" applyAlignment="1">
      <alignment horizontal="right" vertical="top" wrapText="1"/>
    </xf>
    <xf numFmtId="3" fontId="206" fillId="0" borderId="0" xfId="0" applyNumberFormat="1" applyFont="1" applyBorder="1" applyAlignment="1">
      <alignment horizontal="center"/>
    </xf>
    <xf numFmtId="3" fontId="208" fillId="0" borderId="1" xfId="0" applyNumberFormat="1" applyFont="1" applyFill="1" applyBorder="1" applyAlignment="1">
      <alignment horizontal="right" vertical="top" wrapText="1"/>
    </xf>
    <xf numFmtId="0" fontId="345" fillId="0" borderId="0" xfId="0" applyFont="1" applyFill="1" applyBorder="1" applyAlignment="1">
      <alignment horizontal="right" vertical="top" wrapText="1"/>
    </xf>
    <xf numFmtId="0" fontId="220" fillId="0" borderId="0" xfId="0" applyFont="1" applyBorder="1" applyAlignment="1">
      <alignment vertical="top" wrapText="1"/>
    </xf>
    <xf numFmtId="0" fontId="210" fillId="0" borderId="0" xfId="0" applyFont="1" applyFill="1" applyBorder="1" applyAlignment="1">
      <alignment horizontal="right" vertical="top" wrapText="1"/>
    </xf>
    <xf numFmtId="0" fontId="216" fillId="0" borderId="1" xfId="0" applyFont="1" applyFill="1" applyBorder="1" applyAlignment="1">
      <alignment vertical="top" wrapText="1"/>
    </xf>
    <xf numFmtId="0" fontId="340" fillId="0" borderId="0" xfId="0" applyFont="1" applyFill="1" applyAlignment="1">
      <alignment horizontal="center" vertical="center"/>
    </xf>
    <xf numFmtId="0" fontId="358" fillId="0" borderId="2" xfId="0" applyFont="1" applyBorder="1" applyAlignment="1">
      <alignment horizontal="center" vertical="center"/>
    </xf>
    <xf numFmtId="0" fontId="331" fillId="4" borderId="0" xfId="0" applyFont="1" applyFill="1" applyBorder="1" applyAlignment="1">
      <alignment horizontal="left"/>
    </xf>
    <xf numFmtId="0" fontId="358" fillId="0" borderId="0" xfId="0" applyFont="1"/>
    <xf numFmtId="0" fontId="208" fillId="0" borderId="0" xfId="2" applyFont="1" applyFill="1" applyBorder="1" applyAlignment="1">
      <alignment vertical="top" wrapText="1"/>
    </xf>
    <xf numFmtId="0" fontId="345" fillId="0" borderId="0" xfId="0" applyFont="1" applyFill="1" applyBorder="1" applyAlignment="1">
      <alignment vertical="top" wrapText="1"/>
    </xf>
    <xf numFmtId="0" fontId="202" fillId="0" borderId="0" xfId="0" applyFont="1" applyBorder="1" applyAlignment="1">
      <alignment horizontal="right" vertical="top" wrapText="1"/>
    </xf>
    <xf numFmtId="0" fontId="208" fillId="0" borderId="2" xfId="0" applyFont="1" applyBorder="1" applyAlignment="1">
      <alignment vertical="top" wrapText="1"/>
    </xf>
    <xf numFmtId="0" fontId="208" fillId="0" borderId="0" xfId="0" applyFont="1" applyFill="1" applyAlignment="1">
      <alignment horizontal="right" vertical="top" wrapText="1"/>
    </xf>
    <xf numFmtId="0" fontId="210" fillId="0" borderId="0" xfId="0" applyFont="1" applyFill="1" applyBorder="1" applyAlignment="1">
      <alignment vertical="top" wrapText="1"/>
    </xf>
    <xf numFmtId="0" fontId="264" fillId="0" borderId="0" xfId="0" applyFont="1" applyAlignment="1">
      <alignment horizontal="center" vertical="top" wrapText="1"/>
    </xf>
    <xf numFmtId="0" fontId="371" fillId="0" borderId="0" xfId="0" applyFont="1" applyFill="1" applyBorder="1" applyAlignment="1">
      <alignment horizontal="right" vertical="top" wrapText="1"/>
    </xf>
    <xf numFmtId="0" fontId="140" fillId="0" borderId="2" xfId="0" applyFont="1" applyFill="1" applyBorder="1" applyAlignment="1">
      <alignment horizontal="center" vertical="top" wrapText="1"/>
    </xf>
    <xf numFmtId="0" fontId="29" fillId="0" borderId="1" xfId="0" applyFont="1" applyFill="1" applyBorder="1" applyAlignment="1">
      <alignment horizontal="center" vertical="top" wrapText="1"/>
    </xf>
    <xf numFmtId="0" fontId="23" fillId="0" borderId="2" xfId="0" applyFont="1" applyFill="1" applyBorder="1" applyAlignment="1">
      <alignment horizontal="center" vertical="top" wrapText="1"/>
    </xf>
    <xf numFmtId="0" fontId="108" fillId="0" borderId="1" xfId="0" applyFont="1" applyFill="1" applyBorder="1" applyAlignment="1">
      <alignment horizontal="center" vertical="top" wrapText="1"/>
    </xf>
    <xf numFmtId="0" fontId="325" fillId="0" borderId="0" xfId="0" applyFont="1" applyFill="1" applyAlignment="1">
      <alignment horizontal="center" vertical="top" wrapText="1"/>
    </xf>
    <xf numFmtId="0" fontId="340" fillId="0" borderId="0" xfId="0" applyFont="1" applyFill="1" applyAlignment="1">
      <alignment horizontal="center" vertical="top" wrapText="1"/>
    </xf>
    <xf numFmtId="0" fontId="264" fillId="0" borderId="1" xfId="0" applyFont="1" applyBorder="1" applyAlignment="1">
      <alignment horizontal="center" vertical="top" wrapText="1"/>
    </xf>
    <xf numFmtId="0" fontId="212" fillId="0" borderId="0" xfId="0" applyFont="1" applyBorder="1" applyAlignment="1">
      <alignment horizontal="center"/>
    </xf>
    <xf numFmtId="0" fontId="212" fillId="0" borderId="0" xfId="0" applyFont="1" applyFill="1" applyBorder="1" applyAlignment="1">
      <alignment horizontal="center"/>
    </xf>
    <xf numFmtId="0" fontId="212" fillId="0" borderId="1" xfId="0" applyFont="1" applyFill="1" applyBorder="1" applyAlignment="1">
      <alignment horizontal="center"/>
    </xf>
    <xf numFmtId="0" fontId="208" fillId="0" borderId="0" xfId="0" applyFont="1" applyFill="1" applyAlignment="1">
      <alignment horizontal="left" vertical="top" wrapText="1"/>
    </xf>
    <xf numFmtId="164" fontId="227" fillId="0" borderId="0" xfId="0" applyNumberFormat="1" applyFont="1" applyAlignment="1">
      <alignment horizontal="center"/>
    </xf>
    <xf numFmtId="0" fontId="227" fillId="0" borderId="0" xfId="0" applyFont="1" applyAlignment="1">
      <alignment horizontal="center"/>
    </xf>
    <xf numFmtId="0" fontId="267" fillId="0" borderId="0" xfId="2" applyFont="1" applyAlignment="1">
      <alignment horizontal="right" vertical="top" wrapText="1"/>
    </xf>
    <xf numFmtId="0" fontId="212" fillId="0" borderId="0" xfId="0" applyFont="1" applyFill="1" applyBorder="1" applyAlignment="1">
      <alignment horizontal="center" vertical="center" wrapText="1"/>
    </xf>
    <xf numFmtId="0" fontId="239" fillId="0" borderId="0" xfId="0" applyFont="1" applyFill="1" applyBorder="1" applyAlignment="1">
      <alignment horizontal="right" vertical="top" wrapText="1"/>
    </xf>
    <xf numFmtId="0" fontId="202" fillId="0" borderId="4" xfId="0" applyFont="1" applyFill="1" applyBorder="1" applyAlignment="1">
      <alignment horizontal="center" vertical="top" wrapText="1"/>
    </xf>
    <xf numFmtId="0" fontId="231" fillId="0" borderId="0" xfId="0" applyFont="1" applyFill="1" applyAlignment="1">
      <alignment horizontal="center" vertical="top" wrapText="1"/>
    </xf>
    <xf numFmtId="0" fontId="206" fillId="0" borderId="1" xfId="0" applyFont="1" applyFill="1" applyBorder="1" applyAlignment="1">
      <alignment horizontal="center" vertical="center" wrapText="1"/>
    </xf>
    <xf numFmtId="0" fontId="216" fillId="0" borderId="0" xfId="0" applyFont="1" applyFill="1" applyBorder="1" applyAlignment="1">
      <alignment horizontal="right" vertical="top" wrapText="1"/>
    </xf>
    <xf numFmtId="0" fontId="202" fillId="0" borderId="0" xfId="0" applyFont="1" applyFill="1" applyAlignment="1">
      <alignment horizontal="center" vertical="top" wrapText="1"/>
    </xf>
    <xf numFmtId="0" fontId="202" fillId="0" borderId="0" xfId="0" applyFont="1" applyAlignment="1">
      <alignment horizontal="left" vertical="top" wrapText="1"/>
    </xf>
    <xf numFmtId="0" fontId="208" fillId="0" borderId="0" xfId="0" applyFont="1" applyFill="1" applyBorder="1" applyAlignment="1">
      <alignment horizontal="right" vertical="top" wrapText="1"/>
    </xf>
    <xf numFmtId="0" fontId="208" fillId="0" borderId="2" xfId="0" applyFont="1" applyBorder="1" applyAlignment="1">
      <alignment vertical="top" wrapText="1"/>
    </xf>
    <xf numFmtId="0" fontId="39" fillId="0" borderId="0" xfId="0" applyFont="1" applyAlignment="1">
      <alignment horizontal="left" vertical="top" wrapText="1"/>
    </xf>
    <xf numFmtId="164" fontId="208" fillId="0" borderId="0" xfId="0" applyNumberFormat="1" applyFont="1" applyFill="1" applyBorder="1" applyAlignment="1">
      <alignment horizontal="right" vertical="top" wrapText="1"/>
    </xf>
    <xf numFmtId="0" fontId="208" fillId="0" borderId="0" xfId="0" applyFont="1" applyFill="1" applyAlignment="1">
      <alignment horizontal="right" vertical="top" wrapText="1"/>
    </xf>
    <xf numFmtId="0" fontId="216" fillId="0" borderId="1" xfId="0" applyFont="1" applyFill="1" applyBorder="1" applyAlignment="1">
      <alignment vertical="top" wrapText="1"/>
    </xf>
    <xf numFmtId="0" fontId="39" fillId="0" borderId="0" xfId="0" applyFont="1" applyFill="1" applyBorder="1" applyAlignment="1">
      <alignment horizontal="left" vertical="top" wrapText="1"/>
    </xf>
    <xf numFmtId="0" fontId="39" fillId="0" borderId="0" xfId="0" applyFont="1" applyFill="1" applyBorder="1" applyAlignment="1">
      <alignment vertical="top" wrapText="1"/>
    </xf>
    <xf numFmtId="0" fontId="216" fillId="0" borderId="2" xfId="0" applyFont="1" applyBorder="1" applyAlignment="1">
      <alignment vertical="top" wrapText="1"/>
    </xf>
    <xf numFmtId="0" fontId="206" fillId="0" borderId="0" xfId="0" applyFont="1" applyAlignment="1">
      <alignment horizontal="center"/>
    </xf>
    <xf numFmtId="0" fontId="206" fillId="0" borderId="1" xfId="0" applyFont="1" applyBorder="1" applyAlignment="1">
      <alignment horizontal="center"/>
    </xf>
    <xf numFmtId="0" fontId="202" fillId="0" borderId="2" xfId="0" applyFont="1" applyFill="1" applyBorder="1" applyAlignment="1">
      <alignment horizontal="center" vertical="top" wrapText="1"/>
    </xf>
    <xf numFmtId="0" fontId="206" fillId="0" borderId="2" xfId="0" applyFont="1" applyFill="1" applyBorder="1" applyAlignment="1">
      <alignment horizontal="center"/>
    </xf>
    <xf numFmtId="0" fontId="324" fillId="0" borderId="1" xfId="0" applyFont="1" applyBorder="1" applyAlignment="1">
      <alignment horizontal="center"/>
    </xf>
    <xf numFmtId="0" fontId="209" fillId="0" borderId="0" xfId="0" applyFont="1" applyAlignment="1">
      <alignment horizontal="right" vertical="top" wrapText="1"/>
    </xf>
    <xf numFmtId="9" fontId="236" fillId="0" borderId="0" xfId="0" applyNumberFormat="1" applyFont="1" applyAlignment="1">
      <alignment horizontal="center" vertical="center"/>
    </xf>
    <xf numFmtId="1" fontId="206" fillId="0" borderId="0" xfId="0" applyNumberFormat="1" applyFont="1" applyAlignment="1">
      <alignment horizontal="center"/>
    </xf>
    <xf numFmtId="0" fontId="338" fillId="4" borderId="0" xfId="0" applyFont="1" applyFill="1" applyBorder="1" applyAlignment="1">
      <alignment vertical="center"/>
    </xf>
    <xf numFmtId="0" fontId="393" fillId="0" borderId="0" xfId="0" applyFont="1" applyAlignment="1">
      <alignment horizontal="center" vertical="center"/>
    </xf>
    <xf numFmtId="164" fontId="217" fillId="0" borderId="0" xfId="0" applyNumberFormat="1" applyFont="1" applyFill="1" applyBorder="1" applyAlignment="1">
      <alignment horizontal="center"/>
    </xf>
    <xf numFmtId="0" fontId="15" fillId="0" borderId="1" xfId="0" applyFont="1" applyBorder="1" applyAlignment="1">
      <alignment horizontal="center"/>
    </xf>
    <xf numFmtId="0" fontId="208" fillId="0" borderId="1" xfId="0" applyFont="1" applyBorder="1" applyAlignment="1">
      <alignment vertical="top" wrapText="1"/>
    </xf>
    <xf numFmtId="164" fontId="155" fillId="0" borderId="3" xfId="0" applyNumberFormat="1" applyFont="1" applyBorder="1" applyAlignment="1">
      <alignment horizontal="center"/>
    </xf>
    <xf numFmtId="3" fontId="206" fillId="0" borderId="1" xfId="0" applyNumberFormat="1" applyFont="1" applyBorder="1" applyAlignment="1">
      <alignment horizontal="center"/>
    </xf>
    <xf numFmtId="3" fontId="206" fillId="0" borderId="0" xfId="0" applyNumberFormat="1" applyFont="1" applyAlignment="1">
      <alignment horizontal="center"/>
    </xf>
    <xf numFmtId="3" fontId="206" fillId="0" borderId="0" xfId="0" applyNumberFormat="1" applyFont="1" applyFill="1" applyBorder="1" applyAlignment="1">
      <alignment horizontal="center" vertical="center" wrapText="1"/>
    </xf>
    <xf numFmtId="3" fontId="212" fillId="0" borderId="0" xfId="0" applyNumberFormat="1" applyFont="1" applyAlignment="1">
      <alignment horizontal="center"/>
    </xf>
    <xf numFmtId="0" fontId="216" fillId="0" borderId="0" xfId="0" applyFont="1" applyAlignment="1">
      <alignment vertical="top" wrapText="1"/>
    </xf>
    <xf numFmtId="3" fontId="206" fillId="0" borderId="1" xfId="0" applyNumberFormat="1" applyFont="1" applyFill="1" applyBorder="1" applyAlignment="1">
      <alignment horizontal="center"/>
    </xf>
    <xf numFmtId="0" fontId="156" fillId="0" borderId="1" xfId="0" applyFont="1" applyBorder="1" applyAlignment="1">
      <alignment horizontal="center"/>
    </xf>
    <xf numFmtId="0" fontId="41" fillId="0" borderId="2" xfId="0" applyFont="1" applyFill="1" applyBorder="1" applyAlignment="1">
      <alignment horizontal="left" vertical="top" wrapText="1"/>
    </xf>
    <xf numFmtId="0" fontId="208" fillId="0" borderId="0" xfId="0" applyFont="1" applyFill="1" applyBorder="1" applyAlignment="1">
      <alignment horizontal="right" vertical="top" wrapText="1"/>
    </xf>
    <xf numFmtId="0" fontId="228" fillId="0" borderId="0" xfId="0" applyFont="1" applyBorder="1" applyAlignment="1">
      <alignment horizontal="left" vertical="top" wrapText="1"/>
    </xf>
    <xf numFmtId="0" fontId="0" fillId="0" borderId="0" xfId="0" applyFill="1" applyBorder="1" applyAlignment="1">
      <alignment horizontal="right" vertical="top" wrapText="1"/>
    </xf>
    <xf numFmtId="0" fontId="0" fillId="0" borderId="0" xfId="0" applyBorder="1" applyAlignment="1">
      <alignment vertical="top" wrapText="1"/>
    </xf>
    <xf numFmtId="0" fontId="5" fillId="0" borderId="0" xfId="0" applyFont="1" applyFill="1" applyAlignment="1">
      <alignment horizontal="center"/>
    </xf>
    <xf numFmtId="0" fontId="204" fillId="0" borderId="0" xfId="0" applyFont="1" applyFill="1" applyAlignment="1">
      <alignment horizontal="center" vertical="center"/>
    </xf>
    <xf numFmtId="0" fontId="174" fillId="0" borderId="0" xfId="0" applyFont="1" applyFill="1" applyAlignment="1">
      <alignment vertical="center"/>
    </xf>
    <xf numFmtId="0" fontId="310" fillId="0" borderId="0" xfId="0" applyFont="1" applyAlignment="1">
      <alignment horizontal="right" vertical="center"/>
    </xf>
    <xf numFmtId="0" fontId="394" fillId="0" borderId="0" xfId="0" applyFont="1" applyAlignment="1">
      <alignment horizontal="right"/>
    </xf>
    <xf numFmtId="3" fontId="395" fillId="0" borderId="0" xfId="0" applyNumberFormat="1" applyFont="1" applyAlignment="1">
      <alignment horizontal="left" vertical="center"/>
    </xf>
    <xf numFmtId="3" fontId="396" fillId="0" borderId="0" xfId="0" applyNumberFormat="1" applyFont="1" applyAlignment="1">
      <alignment horizontal="left"/>
    </xf>
    <xf numFmtId="9" fontId="290" fillId="0" borderId="0" xfId="0" applyNumberFormat="1" applyFont="1"/>
    <xf numFmtId="0" fontId="290" fillId="0" borderId="0" xfId="0" applyFont="1"/>
    <xf numFmtId="0" fontId="202" fillId="0" borderId="0" xfId="0" applyFont="1" applyFill="1" applyAlignment="1">
      <alignment horizontal="center" vertical="top" wrapText="1"/>
    </xf>
    <xf numFmtId="0" fontId="236" fillId="0" borderId="0" xfId="0" applyFont="1" applyFill="1" applyAlignment="1">
      <alignment horizontal="center" vertical="center" wrapText="1"/>
    </xf>
    <xf numFmtId="0" fontId="336" fillId="13" borderId="0" xfId="0" applyFont="1" applyFill="1" applyBorder="1" applyAlignment="1">
      <alignment horizontal="center" vertical="center"/>
    </xf>
    <xf numFmtId="0" fontId="336" fillId="13" borderId="2" xfId="0" applyFont="1" applyFill="1" applyBorder="1" applyAlignment="1">
      <alignment horizontal="center" vertical="center"/>
    </xf>
    <xf numFmtId="0" fontId="0" fillId="0" borderId="0" xfId="0" applyFill="1" applyAlignment="1">
      <alignment vertical="center" wrapText="1"/>
    </xf>
    <xf numFmtId="0" fontId="264" fillId="0" borderId="2" xfId="0" applyFont="1" applyBorder="1" applyAlignment="1">
      <alignment horizontal="center" vertical="center"/>
    </xf>
    <xf numFmtId="0" fontId="206" fillId="0" borderId="0" xfId="0" applyFont="1" applyBorder="1" applyAlignment="1">
      <alignment horizontal="center"/>
    </xf>
    <xf numFmtId="0" fontId="220" fillId="0" borderId="0" xfId="0" applyFont="1" applyBorder="1" applyAlignment="1">
      <alignment horizontal="left" vertical="top" wrapText="1"/>
    </xf>
    <xf numFmtId="0" fontId="0" fillId="0" borderId="0" xfId="0" applyFill="1" applyBorder="1" applyAlignment="1">
      <alignment horizontal="left" vertical="top"/>
    </xf>
    <xf numFmtId="0" fontId="41" fillId="0" borderId="0" xfId="0" applyFont="1" applyFill="1" applyBorder="1" applyAlignment="1">
      <alignment horizontal="left" vertical="top" wrapText="1"/>
    </xf>
    <xf numFmtId="0" fontId="367" fillId="0" borderId="0" xfId="0" applyFont="1" applyAlignment="1">
      <alignment vertical="top" wrapText="1"/>
    </xf>
    <xf numFmtId="0" fontId="208" fillId="0" borderId="0" xfId="0" applyFont="1" applyAlignment="1">
      <alignment horizontal="left" vertical="top" wrapText="1"/>
    </xf>
    <xf numFmtId="0" fontId="398" fillId="0" borderId="0" xfId="0" applyFont="1" applyAlignment="1">
      <alignment horizontal="center" vertical="top" wrapText="1"/>
    </xf>
    <xf numFmtId="0" fontId="371" fillId="0" borderId="0" xfId="0" applyFont="1" applyFill="1" applyBorder="1" applyAlignment="1">
      <alignment horizontal="center" vertical="top" wrapText="1"/>
    </xf>
    <xf numFmtId="0" fontId="398" fillId="0" borderId="0" xfId="0" applyFont="1" applyFill="1" applyBorder="1" applyAlignment="1">
      <alignment horizontal="center" vertical="top" wrapText="1"/>
    </xf>
    <xf numFmtId="0" fontId="398" fillId="0" borderId="0" xfId="0" applyFont="1" applyBorder="1" applyAlignment="1">
      <alignment horizontal="center" vertical="top" wrapText="1"/>
    </xf>
    <xf numFmtId="0" fontId="371" fillId="0" borderId="0" xfId="0" applyFont="1" applyAlignment="1">
      <alignment horizontal="center" vertical="top" wrapText="1"/>
    </xf>
    <xf numFmtId="0" fontId="267" fillId="0" borderId="0" xfId="0" applyFont="1" applyAlignment="1">
      <alignment horizontal="center" vertical="center"/>
    </xf>
    <xf numFmtId="0" fontId="267" fillId="0" borderId="0" xfId="0" applyFont="1" applyBorder="1" applyAlignment="1">
      <alignment horizontal="center" vertical="center"/>
    </xf>
    <xf numFmtId="0" fontId="267" fillId="0" borderId="3" xfId="0" applyFont="1" applyBorder="1" applyAlignment="1">
      <alignment horizontal="center" vertical="center"/>
    </xf>
    <xf numFmtId="0" fontId="267" fillId="20" borderId="1" xfId="0" applyFont="1" applyFill="1" applyBorder="1" applyAlignment="1">
      <alignment horizontal="center" vertical="center"/>
    </xf>
    <xf numFmtId="0" fontId="399" fillId="0" borderId="0" xfId="0" applyFont="1" applyFill="1" applyBorder="1" applyAlignment="1">
      <alignment horizontal="center" vertical="center"/>
    </xf>
    <xf numFmtId="0" fontId="404" fillId="21" borderId="0" xfId="0" applyFont="1" applyFill="1" applyBorder="1" applyAlignment="1">
      <alignment vertical="center"/>
    </xf>
    <xf numFmtId="0" fontId="267" fillId="0" borderId="0" xfId="0" applyFont="1" applyAlignment="1">
      <alignment vertical="center"/>
    </xf>
    <xf numFmtId="164" fontId="405" fillId="0" borderId="0" xfId="0" applyNumberFormat="1" applyFont="1" applyFill="1" applyAlignment="1">
      <alignment vertical="center"/>
    </xf>
    <xf numFmtId="0" fontId="406" fillId="9" borderId="0" xfId="0" applyFont="1" applyFill="1" applyAlignment="1">
      <alignment horizontal="left" vertical="center" wrapText="1"/>
    </xf>
    <xf numFmtId="0" fontId="407" fillId="9" borderId="0" xfId="0" applyFont="1" applyFill="1" applyAlignment="1">
      <alignment horizontal="left" vertical="center" wrapText="1"/>
    </xf>
    <xf numFmtId="0" fontId="290" fillId="0" borderId="0" xfId="0" applyFont="1" applyFill="1" applyAlignment="1">
      <alignment vertical="center" wrapText="1"/>
    </xf>
    <xf numFmtId="0" fontId="0" fillId="0" borderId="0" xfId="0" applyFill="1" applyAlignment="1">
      <alignment horizontal="center" vertical="center" wrapText="1"/>
    </xf>
    <xf numFmtId="0" fontId="294" fillId="0" borderId="0" xfId="0" applyFont="1" applyFill="1" applyAlignment="1">
      <alignment vertical="center" wrapText="1"/>
    </xf>
    <xf numFmtId="0" fontId="178" fillId="0" borderId="0" xfId="0" applyFont="1" applyFill="1"/>
    <xf numFmtId="0" fontId="408" fillId="0" borderId="0" xfId="0" applyFont="1" applyAlignment="1">
      <alignment horizontal="center" vertical="center"/>
    </xf>
    <xf numFmtId="0" fontId="408" fillId="0" borderId="0" xfId="0" applyFont="1" applyFill="1" applyAlignment="1">
      <alignment horizontal="center" vertical="center"/>
    </xf>
    <xf numFmtId="0" fontId="292" fillId="0" borderId="0" xfId="0" applyFont="1" applyFill="1" applyAlignment="1">
      <alignment vertical="center" wrapText="1"/>
    </xf>
    <xf numFmtId="0" fontId="294" fillId="0" borderId="0" xfId="0" applyFont="1" applyFill="1" applyAlignment="1">
      <alignment horizontal="center" vertical="center" wrapText="1"/>
    </xf>
    <xf numFmtId="0" fontId="294" fillId="0" borderId="0" xfId="0" applyFont="1" applyFill="1" applyAlignment="1">
      <alignment wrapText="1"/>
    </xf>
    <xf numFmtId="0" fontId="328" fillId="0" borderId="0" xfId="0" applyFont="1" applyFill="1" applyAlignment="1">
      <alignment horizontal="center" vertical="center"/>
    </xf>
    <xf numFmtId="0" fontId="316" fillId="0" borderId="0" xfId="0" applyFont="1" applyFill="1" applyBorder="1"/>
    <xf numFmtId="0" fontId="409" fillId="9" borderId="0" xfId="0" applyFont="1" applyFill="1" applyAlignment="1">
      <alignment horizontal="left" vertical="center" wrapText="1"/>
    </xf>
    <xf numFmtId="0" fontId="292" fillId="0" borderId="0" xfId="0" applyFont="1" applyFill="1" applyAlignment="1">
      <alignment horizontal="center" wrapText="1"/>
    </xf>
    <xf numFmtId="0" fontId="289" fillId="0" borderId="0" xfId="0" applyFont="1" applyFill="1" applyAlignment="1">
      <alignment horizontal="center" wrapText="1"/>
    </xf>
    <xf numFmtId="0" fontId="0" fillId="0" borderId="0" xfId="0" applyFill="1" applyAlignment="1">
      <alignment wrapText="1"/>
    </xf>
    <xf numFmtId="0" fontId="72" fillId="0" borderId="0" xfId="0" applyFont="1" applyFill="1" applyBorder="1"/>
    <xf numFmtId="0" fontId="410" fillId="0" borderId="0" xfId="0" applyFont="1" applyFill="1" applyAlignment="1">
      <alignment horizontal="center" vertical="center"/>
    </xf>
    <xf numFmtId="0" fontId="411" fillId="0" borderId="0" xfId="0" applyFont="1" applyFill="1" applyAlignment="1">
      <alignment horizontal="center" vertical="center"/>
    </xf>
    <xf numFmtId="0" fontId="298" fillId="0" borderId="0" xfId="0" applyFont="1" applyFill="1" applyAlignment="1">
      <alignment horizontal="center"/>
    </xf>
    <xf numFmtId="0" fontId="202" fillId="0" borderId="0" xfId="0" applyFont="1" applyFill="1" applyAlignment="1">
      <alignment horizontal="center" vertical="top" wrapText="1"/>
    </xf>
    <xf numFmtId="0" fontId="0" fillId="0" borderId="0" xfId="0" applyFill="1" applyAlignment="1">
      <alignment vertical="center"/>
    </xf>
    <xf numFmtId="0" fontId="208" fillId="0" borderId="0" xfId="0" applyFont="1" applyFill="1" applyBorder="1" applyAlignment="1">
      <alignment horizontal="right" vertical="top" wrapText="1"/>
    </xf>
    <xf numFmtId="0" fontId="412" fillId="0" borderId="0" xfId="0" applyFont="1" applyFill="1" applyBorder="1" applyAlignment="1">
      <alignment horizontal="center" vertical="center" wrapText="1"/>
    </xf>
    <xf numFmtId="0" fontId="335" fillId="0" borderId="0" xfId="0" applyFont="1" applyFill="1" applyAlignment="1">
      <alignment horizontal="right" vertical="top" wrapText="1"/>
    </xf>
    <xf numFmtId="0" fontId="270" fillId="0" borderId="1" xfId="0" applyFont="1" applyBorder="1" applyAlignment="1">
      <alignment horizontal="center" vertical="top" wrapText="1"/>
    </xf>
    <xf numFmtId="3" fontId="28" fillId="0" borderId="1" xfId="0" applyNumberFormat="1" applyFont="1" applyFill="1" applyBorder="1" applyAlignment="1">
      <alignment horizontal="center" vertical="center"/>
    </xf>
    <xf numFmtId="1" fontId="28" fillId="0" borderId="0" xfId="0" applyNumberFormat="1" applyFont="1" applyFill="1" applyBorder="1" applyAlignment="1">
      <alignment horizontal="center" vertical="center"/>
    </xf>
    <xf numFmtId="0" fontId="28" fillId="0" borderId="1" xfId="0" applyFont="1" applyFill="1" applyBorder="1" applyAlignment="1">
      <alignment horizontal="center" vertical="center"/>
    </xf>
    <xf numFmtId="0" fontId="28" fillId="0" borderId="0" xfId="0" applyFont="1" applyFill="1" applyBorder="1" applyAlignment="1">
      <alignment horizontal="center" vertical="center"/>
    </xf>
    <xf numFmtId="1" fontId="59" fillId="0" borderId="0" xfId="0" applyNumberFormat="1" applyFont="1" applyFill="1" applyBorder="1" applyAlignment="1">
      <alignment horizontal="center" vertical="center"/>
    </xf>
    <xf numFmtId="3" fontId="59" fillId="3" borderId="1" xfId="0" applyNumberFormat="1" applyFont="1" applyFill="1" applyBorder="1" applyAlignment="1">
      <alignment horizontal="center" vertical="center"/>
    </xf>
    <xf numFmtId="1" fontId="28" fillId="0" borderId="1" xfId="0" applyNumberFormat="1" applyFont="1" applyFill="1" applyBorder="1" applyAlignment="1">
      <alignment horizontal="center" vertical="center"/>
    </xf>
    <xf numFmtId="0" fontId="41" fillId="0" borderId="2" xfId="0" applyFont="1" applyFill="1" applyBorder="1" applyAlignment="1">
      <alignment vertical="top" wrapText="1"/>
    </xf>
    <xf numFmtId="0" fontId="228" fillId="0" borderId="0" xfId="0" applyFont="1" applyBorder="1" applyAlignment="1">
      <alignment vertical="top" wrapText="1"/>
    </xf>
    <xf numFmtId="0" fontId="220" fillId="0" borderId="0" xfId="0" applyFont="1" applyFill="1" applyBorder="1" applyAlignment="1">
      <alignment horizontal="right" vertical="top" wrapText="1"/>
    </xf>
    <xf numFmtId="164" fontId="208" fillId="0" borderId="0" xfId="0" applyNumberFormat="1" applyFont="1" applyFill="1" applyBorder="1" applyAlignment="1">
      <alignment horizontal="right" vertical="top" wrapText="1"/>
    </xf>
    <xf numFmtId="9" fontId="228" fillId="0" borderId="0" xfId="0" applyNumberFormat="1" applyFont="1" applyFill="1" applyAlignment="1">
      <alignment horizontal="center" vertical="center"/>
    </xf>
    <xf numFmtId="0" fontId="343" fillId="0" borderId="0" xfId="0" applyFont="1" applyFill="1" applyBorder="1" applyAlignment="1">
      <alignment horizontal="right" vertical="top" wrapText="1"/>
    </xf>
    <xf numFmtId="0" fontId="206" fillId="0" borderId="0" xfId="1" applyFont="1" applyFill="1" applyBorder="1" applyAlignment="1">
      <alignment horizontal="center" vertical="center"/>
    </xf>
    <xf numFmtId="0" fontId="289" fillId="17" borderId="0" xfId="0" applyFont="1" applyFill="1" applyAlignment="1">
      <alignment horizontal="center" vertical="center"/>
    </xf>
    <xf numFmtId="0" fontId="206" fillId="0" borderId="0" xfId="0" applyFont="1" applyBorder="1" applyAlignment="1">
      <alignment horizontal="center" vertical="center" wrapText="1"/>
    </xf>
    <xf numFmtId="166" fontId="217" fillId="0" borderId="0" xfId="0" applyNumberFormat="1" applyFont="1" applyAlignment="1">
      <alignment horizontal="center" vertical="center"/>
    </xf>
    <xf numFmtId="164" fontId="76" fillId="0" borderId="0" xfId="0" applyNumberFormat="1" applyFont="1" applyFill="1" applyAlignment="1">
      <alignment vertical="top" wrapText="1"/>
    </xf>
    <xf numFmtId="164" fontId="0" fillId="0" borderId="0" xfId="0" applyNumberFormat="1" applyFill="1" applyAlignment="1">
      <alignment vertical="top" wrapText="1"/>
    </xf>
    <xf numFmtId="3" fontId="217" fillId="0" borderId="0" xfId="0" applyNumberFormat="1" applyFont="1" applyFill="1" applyAlignment="1">
      <alignment horizontal="center" vertical="center"/>
    </xf>
    <xf numFmtId="164" fontId="18" fillId="0" borderId="0" xfId="0" applyNumberFormat="1" applyFont="1" applyFill="1" applyAlignment="1">
      <alignment horizontal="center"/>
    </xf>
    <xf numFmtId="164" fontId="15" fillId="0" borderId="0" xfId="0" applyNumberFormat="1" applyFont="1" applyAlignment="1">
      <alignment vertical="center"/>
    </xf>
    <xf numFmtId="164" fontId="5" fillId="0" borderId="0" xfId="0" applyNumberFormat="1" applyFont="1" applyAlignment="1">
      <alignment vertical="top"/>
    </xf>
    <xf numFmtId="0" fontId="324" fillId="0" borderId="1" xfId="0" applyFont="1" applyFill="1" applyBorder="1" applyAlignment="1">
      <alignment horizontal="center"/>
    </xf>
    <xf numFmtId="0" fontId="324" fillId="0" borderId="0" xfId="0" applyFont="1" applyFill="1" applyAlignment="1">
      <alignment horizontal="center"/>
    </xf>
    <xf numFmtId="0" fontId="113" fillId="16" borderId="0" xfId="0" applyFont="1" applyFill="1" applyAlignment="1">
      <alignment horizontal="center"/>
    </xf>
    <xf numFmtId="0" fontId="139" fillId="0" borderId="0" xfId="0" applyFont="1" applyBorder="1" applyAlignment="1">
      <alignment horizontal="left" vertical="top" wrapText="1"/>
    </xf>
    <xf numFmtId="0" fontId="0" fillId="0" borderId="0" xfId="0" applyAlignment="1">
      <alignment vertical="top" wrapText="1"/>
    </xf>
    <xf numFmtId="0" fontId="208" fillId="0" borderId="0" xfId="0" applyFont="1" applyFill="1" applyBorder="1" applyAlignment="1">
      <alignment horizontal="right" vertical="top" wrapText="1"/>
    </xf>
    <xf numFmtId="0" fontId="187" fillId="0" borderId="0" xfId="0" applyFont="1" applyFill="1" applyAlignment="1">
      <alignment vertical="top" wrapText="1"/>
    </xf>
    <xf numFmtId="0" fontId="39" fillId="0" borderId="0" xfId="0" applyFont="1" applyFill="1" applyBorder="1" applyAlignment="1">
      <alignment horizontal="right" vertical="top" wrapText="1"/>
    </xf>
    <xf numFmtId="0" fontId="210" fillId="0" borderId="0" xfId="0" applyFont="1" applyFill="1" applyBorder="1" applyAlignment="1">
      <alignment vertical="top" wrapText="1"/>
    </xf>
    <xf numFmtId="164" fontId="208" fillId="0" borderId="0" xfId="0" applyNumberFormat="1" applyFont="1" applyFill="1" applyBorder="1" applyAlignment="1">
      <alignment horizontal="right" vertical="top" wrapText="1"/>
    </xf>
    <xf numFmtId="0" fontId="345" fillId="0" borderId="0" xfId="0" applyFont="1" applyFill="1" applyBorder="1" applyAlignment="1">
      <alignment horizontal="left" vertical="top" wrapText="1"/>
    </xf>
    <xf numFmtId="3" fontId="209" fillId="17" borderId="0" xfId="0" applyNumberFormat="1" applyFont="1" applyFill="1" applyAlignment="1">
      <alignment horizontal="center" vertical="center"/>
    </xf>
    <xf numFmtId="3" fontId="209" fillId="16" borderId="0" xfId="0" applyNumberFormat="1" applyFont="1" applyFill="1" applyAlignment="1">
      <alignment horizontal="center" vertical="center"/>
    </xf>
    <xf numFmtId="0" fontId="290" fillId="16" borderId="0" xfId="0" applyFont="1" applyFill="1" applyAlignment="1">
      <alignment horizontal="center"/>
    </xf>
    <xf numFmtId="0" fontId="290" fillId="17" borderId="0" xfId="0" applyFont="1" applyFill="1" applyAlignment="1">
      <alignment horizontal="center"/>
    </xf>
    <xf numFmtId="1" fontId="206" fillId="17" borderId="0" xfId="0" applyNumberFormat="1" applyFont="1" applyFill="1" applyAlignment="1">
      <alignment horizontal="center" vertical="center"/>
    </xf>
    <xf numFmtId="1" fontId="206" fillId="16" borderId="0" xfId="0" applyNumberFormat="1" applyFont="1" applyFill="1" applyAlignment="1">
      <alignment horizontal="center" vertical="center"/>
    </xf>
    <xf numFmtId="0" fontId="290" fillId="16" borderId="0" xfId="0" applyFont="1" applyFill="1" applyAlignment="1">
      <alignment horizontal="center" vertical="center"/>
    </xf>
    <xf numFmtId="0" fontId="290" fillId="17" borderId="0" xfId="0" applyFont="1" applyFill="1" applyAlignment="1">
      <alignment horizontal="center" vertical="center"/>
    </xf>
    <xf numFmtId="0" fontId="209" fillId="16" borderId="0" xfId="0" applyFont="1" applyFill="1" applyAlignment="1">
      <alignment horizontal="center" vertical="center"/>
    </xf>
    <xf numFmtId="0" fontId="209" fillId="17" borderId="0" xfId="0" applyFont="1" applyFill="1" applyAlignment="1">
      <alignment horizontal="center" vertical="center"/>
    </xf>
    <xf numFmtId="0" fontId="0" fillId="0" borderId="0" xfId="0" applyAlignment="1">
      <alignment horizontal="center" vertical="center"/>
    </xf>
    <xf numFmtId="0" fontId="289" fillId="0" borderId="0" xfId="0" applyFont="1" applyAlignment="1">
      <alignment horizontal="center" wrapText="1"/>
    </xf>
    <xf numFmtId="0" fontId="264" fillId="0" borderId="0" xfId="0" applyFont="1" applyAlignment="1">
      <alignment horizontal="center" vertical="center"/>
    </xf>
    <xf numFmtId="0" fontId="97" fillId="0" borderId="0" xfId="0" applyFont="1" applyFill="1" applyAlignment="1">
      <alignment horizontal="right"/>
    </xf>
    <xf numFmtId="0" fontId="289" fillId="0" borderId="0" xfId="0" applyFont="1"/>
    <xf numFmtId="0" fontId="289" fillId="0" borderId="0" xfId="0" applyFont="1" applyAlignment="1">
      <alignment horizontal="right"/>
    </xf>
    <xf numFmtId="0" fontId="138" fillId="0" borderId="0" xfId="0" applyFont="1" applyFill="1" applyAlignment="1">
      <alignment horizontal="right" vertical="center"/>
    </xf>
    <xf numFmtId="0" fontId="0" fillId="0" borderId="0" xfId="0" applyAlignment="1">
      <alignment horizontal="center" wrapText="1"/>
    </xf>
    <xf numFmtId="0" fontId="415" fillId="0" borderId="0" xfId="0" applyFont="1" applyAlignment="1">
      <alignment horizontal="center" vertical="top" wrapText="1"/>
    </xf>
    <xf numFmtId="0" fontId="0" fillId="16" borderId="0" xfId="0" applyFill="1" applyAlignment="1">
      <alignment horizontal="center" wrapText="1"/>
    </xf>
    <xf numFmtId="0" fontId="0" fillId="17" borderId="0" xfId="0" applyFont="1" applyFill="1" applyAlignment="1">
      <alignment horizontal="center" wrapText="1"/>
    </xf>
    <xf numFmtId="0" fontId="0" fillId="17" borderId="0" xfId="0" applyFill="1" applyAlignment="1">
      <alignment horizontal="center" wrapText="1"/>
    </xf>
    <xf numFmtId="0" fontId="416" fillId="0" borderId="0" xfId="0" applyFont="1" applyAlignment="1">
      <alignment horizontal="left" vertical="center" indent="5"/>
    </xf>
    <xf numFmtId="0" fontId="416" fillId="0" borderId="0" xfId="0" applyFont="1" applyAlignment="1">
      <alignment horizontal="left" vertical="center"/>
    </xf>
    <xf numFmtId="164" fontId="100" fillId="0" borderId="0" xfId="0" applyNumberFormat="1" applyFont="1" applyBorder="1" applyAlignment="1">
      <alignment horizontal="left" vertical="top" wrapText="1"/>
    </xf>
    <xf numFmtId="0" fontId="417" fillId="0" borderId="0" xfId="0" applyFont="1" applyAlignment="1">
      <alignment horizontal="center"/>
    </xf>
    <xf numFmtId="0" fontId="416" fillId="0" borderId="0" xfId="0" applyFont="1" applyAlignment="1">
      <alignment horizontal="center" wrapText="1"/>
    </xf>
    <xf numFmtId="0" fontId="267" fillId="0" borderId="0" xfId="0" applyFont="1" applyFill="1" applyAlignment="1">
      <alignment horizontal="center"/>
    </xf>
    <xf numFmtId="0" fontId="22" fillId="0" borderId="0" xfId="0" applyFont="1" applyAlignment="1">
      <alignment horizontal="center" vertical="top" wrapText="1"/>
    </xf>
    <xf numFmtId="0" fontId="11" fillId="0" borderId="0" xfId="0" applyFont="1" applyAlignment="1">
      <alignment horizontal="center" vertical="center"/>
    </xf>
    <xf numFmtId="0" fontId="127" fillId="0" borderId="0" xfId="0" applyFont="1" applyFill="1" applyAlignment="1">
      <alignment horizontal="center" vertical="center"/>
    </xf>
    <xf numFmtId="0" fontId="239" fillId="0" borderId="0" xfId="0" applyFont="1" applyFill="1" applyAlignment="1">
      <alignment horizontal="center"/>
    </xf>
    <xf numFmtId="0" fontId="63" fillId="0" borderId="0" xfId="0" applyFont="1" applyFill="1" applyAlignment="1">
      <alignment horizontal="center" vertical="center"/>
    </xf>
    <xf numFmtId="0" fontId="84" fillId="0" borderId="0" xfId="0" applyFont="1" applyFill="1" applyAlignment="1">
      <alignment horizontal="center" vertical="center"/>
    </xf>
    <xf numFmtId="0" fontId="114" fillId="0" borderId="0" xfId="0" applyFont="1" applyFill="1" applyAlignment="1">
      <alignment horizontal="center" vertical="center"/>
    </xf>
    <xf numFmtId="165" fontId="93" fillId="0" borderId="0" xfId="0" applyNumberFormat="1" applyFont="1" applyFill="1" applyAlignment="1">
      <alignment horizontal="center" vertical="center"/>
    </xf>
    <xf numFmtId="0" fontId="90" fillId="0" borderId="0" xfId="0" applyFont="1" applyAlignment="1">
      <alignment horizontal="center" wrapText="1"/>
    </xf>
    <xf numFmtId="9" fontId="0" fillId="0" borderId="0" xfId="0" applyNumberFormat="1" applyFill="1" applyAlignment="1">
      <alignment horizontal="center"/>
    </xf>
    <xf numFmtId="0" fontId="97" fillId="0" borderId="0" xfId="0" applyFont="1" applyAlignment="1">
      <alignment horizontal="center" wrapText="1"/>
    </xf>
    <xf numFmtId="0" fontId="127" fillId="0" borderId="0" xfId="0" applyFont="1" applyAlignment="1">
      <alignment horizontal="center" vertical="center"/>
    </xf>
    <xf numFmtId="0" fontId="0" fillId="16" borderId="0" xfId="0" applyFill="1" applyAlignment="1">
      <alignment horizontal="center"/>
    </xf>
    <xf numFmtId="0" fontId="1" fillId="16" borderId="0" xfId="0" applyFont="1" applyFill="1" applyAlignment="1">
      <alignment horizontal="center"/>
    </xf>
    <xf numFmtId="0" fontId="103" fillId="17" borderId="0" xfId="0" applyFont="1" applyFill="1" applyAlignment="1">
      <alignment horizontal="center" vertical="center"/>
    </xf>
    <xf numFmtId="0" fontId="1" fillId="0" borderId="0" xfId="0" applyFont="1" applyAlignment="1">
      <alignment horizontal="center"/>
    </xf>
    <xf numFmtId="9" fontId="0" fillId="0" borderId="0" xfId="0" applyNumberFormat="1" applyAlignment="1">
      <alignment horizontal="center"/>
    </xf>
    <xf numFmtId="0" fontId="289" fillId="16" borderId="0" xfId="0" applyFont="1" applyFill="1" applyAlignment="1">
      <alignment horizontal="center" wrapText="1"/>
    </xf>
    <xf numFmtId="0" fontId="289" fillId="17" borderId="0" xfId="0" applyFont="1" applyFill="1" applyAlignment="1">
      <alignment horizontal="center" wrapText="1"/>
    </xf>
    <xf numFmtId="0" fontId="220" fillId="0" borderId="0" xfId="0" applyFont="1" applyFill="1" applyBorder="1" applyAlignment="1">
      <alignment vertical="top" wrapText="1"/>
    </xf>
    <xf numFmtId="0" fontId="220" fillId="0" borderId="0" xfId="0" applyFont="1" applyFill="1" applyBorder="1" applyAlignment="1">
      <alignment horizontal="left" vertical="top" wrapText="1"/>
    </xf>
    <xf numFmtId="0" fontId="394" fillId="0" borderId="0" xfId="0" applyFont="1" applyFill="1" applyBorder="1" applyAlignment="1">
      <alignment horizontal="center" vertical="top" wrapText="1"/>
    </xf>
    <xf numFmtId="0" fontId="394" fillId="0" borderId="0" xfId="0" applyFont="1" applyFill="1" applyBorder="1" applyAlignment="1">
      <alignment horizontal="center" vertical="top"/>
    </xf>
    <xf numFmtId="0" fontId="1" fillId="0" borderId="0" xfId="0" applyFont="1" applyFill="1" applyAlignment="1">
      <alignment horizontal="center"/>
    </xf>
    <xf numFmtId="0" fontId="212" fillId="16" borderId="1" xfId="0" applyFont="1" applyFill="1" applyBorder="1" applyAlignment="1">
      <alignment horizontal="center" vertical="top" wrapText="1"/>
    </xf>
    <xf numFmtId="0" fontId="212" fillId="16" borderId="2" xfId="0" applyFont="1" applyFill="1" applyBorder="1" applyAlignment="1">
      <alignment horizontal="center" vertical="top" wrapText="1"/>
    </xf>
    <xf numFmtId="0" fontId="418" fillId="0" borderId="0" xfId="0" applyFont="1" applyFill="1" applyAlignment="1">
      <alignment horizontal="center"/>
    </xf>
    <xf numFmtId="0" fontId="236" fillId="0" borderId="0" xfId="0" applyFont="1" applyFill="1" applyAlignment="1">
      <alignment horizontal="center" vertical="center" wrapText="1"/>
    </xf>
    <xf numFmtId="0" fontId="0" fillId="0" borderId="0" xfId="0" applyAlignment="1">
      <alignment horizontal="center" vertical="center" wrapText="1"/>
    </xf>
    <xf numFmtId="0" fontId="285" fillId="0" borderId="0" xfId="0" applyFont="1" applyAlignment="1">
      <alignment vertical="center" wrapText="1"/>
    </xf>
    <xf numFmtId="0" fontId="287" fillId="0" borderId="0" xfId="0" applyFont="1" applyAlignment="1">
      <alignment vertical="center" wrapText="1"/>
    </xf>
    <xf numFmtId="0" fontId="228" fillId="0" borderId="0" xfId="0" applyFont="1" applyAlignment="1">
      <alignment wrapText="1"/>
    </xf>
    <xf numFmtId="0" fontId="207" fillId="0" borderId="0" xfId="0" applyFont="1" applyFill="1" applyAlignment="1">
      <alignment vertical="top" wrapText="1"/>
    </xf>
    <xf numFmtId="0" fontId="207" fillId="0" borderId="0" xfId="0" applyFont="1" applyAlignment="1">
      <alignment vertical="top" wrapText="1"/>
    </xf>
    <xf numFmtId="0" fontId="337" fillId="12" borderId="4" xfId="0" applyFont="1" applyFill="1" applyBorder="1" applyAlignment="1">
      <alignment horizontal="center" vertical="center" wrapText="1"/>
    </xf>
    <xf numFmtId="0" fontId="337" fillId="12" borderId="0" xfId="0" applyFont="1" applyFill="1" applyAlignment="1">
      <alignment horizontal="center" vertical="center" wrapText="1"/>
    </xf>
    <xf numFmtId="0" fontId="337" fillId="6" borderId="1" xfId="0" applyFont="1" applyFill="1" applyBorder="1" applyAlignment="1">
      <alignment horizontal="center" vertical="center"/>
    </xf>
    <xf numFmtId="0" fontId="337" fillId="6" borderId="0" xfId="0" applyFont="1" applyFill="1" applyBorder="1" applyAlignment="1">
      <alignment horizontal="center" vertical="center"/>
    </xf>
    <xf numFmtId="0" fontId="202" fillId="0" borderId="0" xfId="0" applyFont="1" applyFill="1" applyAlignment="1">
      <alignment vertical="top" wrapText="1"/>
    </xf>
    <xf numFmtId="0" fontId="103" fillId="0" borderId="0" xfId="0" applyFont="1" applyAlignment="1">
      <alignment vertical="top" wrapText="1"/>
    </xf>
    <xf numFmtId="0" fontId="0" fillId="0" borderId="0" xfId="0" applyAlignment="1">
      <alignment vertical="top" wrapText="1"/>
    </xf>
    <xf numFmtId="0" fontId="202" fillId="0" borderId="0" xfId="0" applyFont="1" applyFill="1" applyAlignment="1">
      <alignment horizontal="right" vertical="top" wrapText="1"/>
    </xf>
    <xf numFmtId="0" fontId="336" fillId="10" borderId="1" xfId="0" applyFont="1" applyFill="1" applyBorder="1" applyAlignment="1">
      <alignment horizontal="center" vertical="center" wrapText="1"/>
    </xf>
    <xf numFmtId="0" fontId="336" fillId="10" borderId="0" xfId="0" applyFont="1" applyFill="1" applyBorder="1" applyAlignment="1">
      <alignment horizontal="center" vertical="center" wrapText="1"/>
    </xf>
    <xf numFmtId="0" fontId="264" fillId="0" borderId="5" xfId="0" applyFont="1" applyBorder="1" applyAlignment="1">
      <alignment horizontal="center" vertical="center" wrapText="1"/>
    </xf>
    <xf numFmtId="0" fontId="204" fillId="0" borderId="0" xfId="0" applyFont="1" applyFill="1" applyAlignment="1">
      <alignment vertical="top" wrapText="1"/>
    </xf>
    <xf numFmtId="0" fontId="204" fillId="0" borderId="0" xfId="0" applyFont="1" applyAlignment="1">
      <alignment vertical="top" wrapText="1"/>
    </xf>
    <xf numFmtId="0" fontId="34" fillId="0" borderId="0" xfId="0" applyFont="1" applyFill="1" applyAlignment="1">
      <alignment vertical="top" wrapText="1"/>
    </xf>
    <xf numFmtId="0" fontId="103" fillId="0" borderId="0" xfId="0" applyFont="1" applyFill="1" applyAlignment="1">
      <alignment vertical="top" wrapText="1"/>
    </xf>
    <xf numFmtId="0" fontId="33" fillId="0" borderId="0" xfId="0" applyFont="1" applyFill="1" applyAlignment="1">
      <alignment vertical="top" wrapText="1"/>
    </xf>
    <xf numFmtId="0" fontId="210" fillId="0" borderId="0" xfId="0" applyFont="1" applyFill="1" applyAlignment="1">
      <alignment vertical="top" wrapText="1"/>
    </xf>
    <xf numFmtId="0" fontId="33" fillId="0" borderId="0" xfId="0" applyFont="1" applyFill="1" applyAlignment="1">
      <alignment horizontal="left" vertical="top" wrapText="1"/>
    </xf>
    <xf numFmtId="0" fontId="0" fillId="0" borderId="0" xfId="0" applyAlignment="1">
      <alignment horizontal="left" vertical="top" wrapText="1"/>
    </xf>
    <xf numFmtId="0" fontId="329" fillId="0" borderId="0" xfId="0" applyFont="1" applyFill="1" applyAlignment="1">
      <alignment horizontal="right" vertical="top" wrapText="1"/>
    </xf>
    <xf numFmtId="0" fontId="329" fillId="0" borderId="0" xfId="0" applyFont="1" applyAlignment="1">
      <alignment horizontal="right" vertical="top" wrapText="1"/>
    </xf>
    <xf numFmtId="0" fontId="290" fillId="16" borderId="0" xfId="0" applyFont="1" applyFill="1" applyAlignment="1">
      <alignment vertical="center" wrapText="1"/>
    </xf>
    <xf numFmtId="0" fontId="0" fillId="0" borderId="0" xfId="0" applyAlignment="1">
      <alignment vertical="center" wrapText="1"/>
    </xf>
    <xf numFmtId="0" fontId="290" fillId="18" borderId="0" xfId="0" applyFont="1" applyFill="1" applyAlignment="1">
      <alignment vertical="center" wrapText="1"/>
    </xf>
    <xf numFmtId="0" fontId="310" fillId="0" borderId="0" xfId="0" applyFont="1" applyFill="1" applyAlignment="1">
      <alignment horizontal="center" vertical="top" wrapText="1"/>
    </xf>
    <xf numFmtId="0" fontId="228" fillId="0" borderId="0" xfId="0" applyFont="1" applyAlignment="1">
      <alignment vertical="top" wrapText="1"/>
    </xf>
    <xf numFmtId="0" fontId="189" fillId="0" borderId="0" xfId="0" applyFont="1" applyFill="1" applyAlignment="1">
      <alignment horizontal="center" vertical="top" wrapText="1"/>
    </xf>
    <xf numFmtId="0" fontId="190" fillId="0" borderId="0" xfId="0" applyFont="1" applyFill="1" applyAlignment="1">
      <alignment horizontal="center" vertical="top" wrapText="1"/>
    </xf>
    <xf numFmtId="0" fontId="265" fillId="0" borderId="0" xfId="0" applyFont="1" applyFill="1" applyAlignment="1">
      <alignment horizontal="center" vertical="top" wrapText="1"/>
    </xf>
    <xf numFmtId="0" fontId="269" fillId="0" borderId="0" xfId="0" applyFont="1" applyFill="1" applyAlignment="1">
      <alignment vertical="top" wrapText="1"/>
    </xf>
    <xf numFmtId="0" fontId="73" fillId="0" borderId="0" xfId="0" applyFont="1" applyFill="1" applyAlignment="1">
      <alignment vertical="top" wrapText="1"/>
    </xf>
    <xf numFmtId="0" fontId="270" fillId="0" borderId="0" xfId="0" applyFont="1" applyFill="1" applyAlignment="1">
      <alignment horizontal="center" vertical="top" wrapText="1"/>
    </xf>
    <xf numFmtId="0" fontId="0" fillId="0" borderId="0" xfId="0" applyAlignment="1">
      <alignment horizontal="center" vertical="top" wrapText="1"/>
    </xf>
    <xf numFmtId="0" fontId="202" fillId="0" borderId="0" xfId="0" applyFont="1" applyFill="1" applyAlignment="1">
      <alignment horizontal="center" vertical="top" wrapText="1"/>
    </xf>
    <xf numFmtId="0" fontId="29" fillId="0" borderId="0" xfId="0" applyFont="1" applyFill="1" applyAlignment="1">
      <alignment horizontal="center" vertical="top" wrapText="1"/>
    </xf>
    <xf numFmtId="0" fontId="0" fillId="0" borderId="0" xfId="0" applyFill="1" applyAlignment="1"/>
    <xf numFmtId="0" fontId="0" fillId="0" borderId="0" xfId="0" applyAlignment="1"/>
    <xf numFmtId="0" fontId="290" fillId="0" borderId="0" xfId="0" applyFont="1" applyFill="1" applyAlignment="1">
      <alignment horizontal="center" vertical="center" wrapText="1"/>
    </xf>
    <xf numFmtId="0" fontId="290" fillId="0" borderId="0" xfId="0" applyFont="1" applyAlignment="1">
      <alignment horizontal="center" vertical="center" wrapText="1"/>
    </xf>
    <xf numFmtId="0" fontId="310" fillId="0" borderId="0" xfId="0" applyFont="1" applyAlignment="1">
      <alignment horizontal="center" vertical="top" wrapText="1"/>
    </xf>
    <xf numFmtId="0" fontId="228" fillId="0" borderId="0" xfId="0" applyFont="1" applyAlignment="1">
      <alignment horizontal="center" vertical="top" wrapText="1"/>
    </xf>
    <xf numFmtId="0" fontId="34" fillId="0" borderId="0" xfId="0" applyFont="1" applyAlignment="1">
      <alignment horizontal="center" vertical="top" wrapText="1"/>
    </xf>
    <xf numFmtId="0" fontId="104" fillId="0" borderId="0" xfId="0" applyFont="1" applyAlignment="1">
      <alignment horizontal="center" vertical="top" wrapText="1"/>
    </xf>
    <xf numFmtId="0" fontId="29" fillId="0" borderId="0" xfId="0" applyFont="1" applyAlignment="1">
      <alignment horizontal="center" vertical="top" wrapText="1"/>
    </xf>
    <xf numFmtId="0" fontId="34" fillId="0" borderId="0" xfId="0" applyFont="1" applyFill="1" applyAlignment="1">
      <alignment horizontal="center" vertical="top" wrapText="1"/>
    </xf>
    <xf numFmtId="0" fontId="109" fillId="0" borderId="0" xfId="0" applyFont="1" applyAlignment="1">
      <alignment horizontal="center" vertical="top" wrapText="1"/>
    </xf>
    <xf numFmtId="0" fontId="335" fillId="0" borderId="0" xfId="0" applyFont="1" applyFill="1" applyAlignment="1">
      <alignment horizontal="center" vertical="top" wrapText="1"/>
    </xf>
    <xf numFmtId="0" fontId="131" fillId="0" borderId="0" xfId="0" applyFont="1" applyFill="1" applyAlignment="1">
      <alignment horizontal="center" vertical="top" wrapText="1"/>
    </xf>
    <xf numFmtId="0" fontId="0" fillId="0" borderId="0" xfId="0" applyFill="1" applyAlignment="1">
      <alignment vertical="top" wrapText="1"/>
    </xf>
    <xf numFmtId="0" fontId="115" fillId="0" borderId="0" xfId="0" applyFont="1" applyFill="1" applyAlignment="1">
      <alignment horizontal="center" vertical="top" wrapText="1"/>
    </xf>
    <xf numFmtId="0" fontId="115" fillId="0" borderId="0" xfId="0" applyFont="1" applyAlignment="1">
      <alignment horizontal="center" vertical="top" wrapText="1"/>
    </xf>
    <xf numFmtId="0" fontId="137" fillId="0" borderId="0" xfId="0" applyFont="1" applyFill="1" applyAlignment="1">
      <alignment horizontal="center" vertical="top" wrapText="1"/>
    </xf>
    <xf numFmtId="0" fontId="228" fillId="0" borderId="0" xfId="0" applyFont="1" applyFill="1" applyAlignment="1">
      <alignment horizontal="center" vertical="top" wrapText="1"/>
    </xf>
    <xf numFmtId="0" fontId="202" fillId="0" borderId="0" xfId="0" applyFont="1" applyAlignment="1">
      <alignment vertical="top" wrapText="1"/>
    </xf>
    <xf numFmtId="0" fontId="191" fillId="0" borderId="0" xfId="0" applyFont="1" applyFill="1" applyAlignment="1">
      <alignment horizontal="left" vertical="top" wrapText="1"/>
    </xf>
    <xf numFmtId="0" fontId="228" fillId="0" borderId="0" xfId="0" applyFont="1" applyFill="1" applyAlignment="1">
      <alignment vertical="top" wrapText="1"/>
    </xf>
    <xf numFmtId="0" fontId="202" fillId="0" borderId="0" xfId="0" applyFont="1" applyAlignment="1">
      <alignment horizontal="left" vertical="top" wrapText="1"/>
    </xf>
    <xf numFmtId="0" fontId="0" fillId="0" borderId="0" xfId="0" applyFill="1" applyAlignment="1">
      <alignment horizontal="center" vertical="top" wrapText="1"/>
    </xf>
    <xf numFmtId="0" fontId="264" fillId="0" borderId="0" xfId="0" applyFont="1" applyFill="1" applyAlignment="1">
      <alignment vertical="top" wrapText="1"/>
    </xf>
    <xf numFmtId="0" fontId="200" fillId="0" borderId="0" xfId="0" applyFont="1" applyFill="1" applyAlignment="1">
      <alignment horizontal="center" vertical="center"/>
    </xf>
    <xf numFmtId="0" fontId="27" fillId="0" borderId="0" xfId="0" applyFont="1" applyFill="1" applyAlignment="1">
      <alignment vertical="top" wrapText="1"/>
    </xf>
    <xf numFmtId="0" fontId="28" fillId="0" borderId="0" xfId="0" applyFont="1" applyFill="1" applyAlignment="1">
      <alignment horizontal="left" vertical="top" wrapText="1"/>
    </xf>
    <xf numFmtId="0" fontId="193" fillId="0" borderId="0" xfId="0" applyFont="1" applyAlignment="1">
      <alignment horizontal="left" vertical="top" wrapText="1"/>
    </xf>
    <xf numFmtId="0" fontId="269" fillId="0" borderId="0" xfId="0" applyFont="1" applyFill="1" applyAlignment="1">
      <alignment horizontal="center" vertical="top" wrapText="1"/>
    </xf>
    <xf numFmtId="0" fontId="27" fillId="0" borderId="0" xfId="0" applyFont="1" applyAlignment="1">
      <alignment vertical="top" wrapText="1"/>
    </xf>
    <xf numFmtId="0" fontId="259" fillId="0" borderId="0" xfId="0" applyFont="1" applyFill="1" applyAlignment="1">
      <alignment vertical="top" wrapText="1"/>
    </xf>
    <xf numFmtId="0" fontId="259" fillId="0" borderId="0" xfId="0" applyFont="1" applyAlignment="1">
      <alignment vertical="top" wrapText="1"/>
    </xf>
    <xf numFmtId="0" fontId="202" fillId="7" borderId="0" xfId="0" applyFont="1" applyFill="1" applyAlignment="1">
      <alignment horizontal="center" vertical="top" wrapText="1"/>
    </xf>
    <xf numFmtId="0" fontId="245" fillId="0" borderId="0" xfId="0" applyFont="1" applyAlignment="1">
      <alignment horizontal="center" vertical="center" wrapText="1"/>
    </xf>
    <xf numFmtId="0" fontId="212" fillId="0" borderId="0" xfId="0" applyFont="1" applyAlignment="1">
      <alignment horizontal="center" vertical="center" wrapText="1"/>
    </xf>
    <xf numFmtId="0" fontId="12" fillId="0" borderId="0" xfId="0" applyFont="1" applyAlignment="1">
      <alignment horizontal="center" vertical="center" wrapText="1"/>
    </xf>
    <xf numFmtId="0" fontId="34" fillId="0" borderId="0" xfId="0" applyFont="1" applyFill="1" applyAlignment="1">
      <alignment horizontal="left" vertical="top" wrapText="1"/>
    </xf>
    <xf numFmtId="0" fontId="0" fillId="0" borderId="0" xfId="0" applyFill="1" applyAlignment="1">
      <alignment horizontal="left" vertical="top" wrapText="1"/>
    </xf>
    <xf numFmtId="0" fontId="150" fillId="10" borderId="1" xfId="0" applyFont="1" applyFill="1" applyBorder="1" applyAlignment="1">
      <alignment horizontal="center" vertical="center" wrapText="1"/>
    </xf>
    <xf numFmtId="0" fontId="150" fillId="10" borderId="0" xfId="0" applyFont="1" applyFill="1" applyBorder="1" applyAlignment="1">
      <alignment horizontal="center" vertical="center" wrapText="1"/>
    </xf>
    <xf numFmtId="0" fontId="0" fillId="0" borderId="5" xfId="0" applyBorder="1" applyAlignment="1">
      <alignment horizontal="center" vertical="center" wrapText="1"/>
    </xf>
    <xf numFmtId="0" fontId="327" fillId="0" borderId="0" xfId="0" applyFont="1" applyAlignment="1">
      <alignment horizontal="center"/>
    </xf>
    <xf numFmtId="0" fontId="102" fillId="10" borderId="1" xfId="0" applyFont="1" applyFill="1" applyBorder="1" applyAlignment="1">
      <alignment horizontal="center" vertical="center" wrapText="1"/>
    </xf>
    <xf numFmtId="0" fontId="335" fillId="0" borderId="0" xfId="0" applyFont="1" applyAlignment="1">
      <alignment horizontal="center" vertical="top" wrapText="1"/>
    </xf>
    <xf numFmtId="0" fontId="61" fillId="0" borderId="0" xfId="0" applyFont="1" applyFill="1" applyAlignment="1">
      <alignment horizontal="center" vertical="top" wrapText="1"/>
    </xf>
    <xf numFmtId="0" fontId="133" fillId="0" borderId="0" xfId="0" applyFont="1" applyAlignment="1">
      <alignment horizontal="left" vertical="top" wrapText="1"/>
    </xf>
    <xf numFmtId="0" fontId="151" fillId="12" borderId="4" xfId="0" applyFont="1" applyFill="1" applyBorder="1" applyAlignment="1">
      <alignment horizontal="center" vertical="center" wrapText="1"/>
    </xf>
    <xf numFmtId="0" fontId="0" fillId="0" borderId="2" xfId="0" applyBorder="1" applyAlignment="1">
      <alignment horizontal="center" vertical="center" wrapText="1"/>
    </xf>
    <xf numFmtId="0" fontId="152" fillId="6" borderId="1" xfId="0" applyFont="1" applyFill="1" applyBorder="1" applyAlignment="1">
      <alignment horizontal="center" vertical="center"/>
    </xf>
    <xf numFmtId="0" fontId="152" fillId="6" borderId="0" xfId="0" applyFont="1" applyFill="1" applyBorder="1" applyAlignment="1">
      <alignment horizontal="center" vertical="center"/>
    </xf>
    <xf numFmtId="0" fontId="264" fillId="0" borderId="0" xfId="0" applyFont="1" applyAlignment="1">
      <alignment horizontal="center" vertical="center" wrapText="1"/>
    </xf>
    <xf numFmtId="0" fontId="264" fillId="0" borderId="2" xfId="0" applyFont="1" applyBorder="1" applyAlignment="1">
      <alignment horizontal="center" vertical="center" wrapText="1"/>
    </xf>
    <xf numFmtId="0" fontId="132" fillId="0" borderId="0" xfId="0" applyFont="1" applyFill="1" applyAlignment="1">
      <alignment horizontal="center" vertical="top" wrapText="1"/>
    </xf>
    <xf numFmtId="0" fontId="336" fillId="10" borderId="5" xfId="0" applyFont="1" applyFill="1" applyBorder="1" applyAlignment="1">
      <alignment horizontal="center" vertical="center" wrapText="1"/>
    </xf>
    <xf numFmtId="0" fontId="92" fillId="0" borderId="0" xfId="0" applyFont="1" applyAlignment="1">
      <alignment vertical="center" wrapText="1"/>
    </xf>
    <xf numFmtId="0" fontId="235" fillId="0" borderId="0" xfId="0" applyFont="1" applyAlignment="1">
      <alignment vertical="center" wrapText="1"/>
    </xf>
    <xf numFmtId="0" fontId="292" fillId="16" borderId="0" xfId="0" applyFont="1" applyFill="1" applyAlignment="1">
      <alignment horizontal="center" vertical="center" wrapText="1"/>
    </xf>
    <xf numFmtId="0" fontId="185" fillId="8" borderId="0" xfId="0" applyFont="1" applyFill="1"/>
    <xf numFmtId="0" fontId="151" fillId="12" borderId="0" xfId="0" applyFont="1" applyFill="1" applyAlignment="1">
      <alignment horizontal="center" vertical="center" wrapText="1"/>
    </xf>
    <xf numFmtId="0" fontId="59" fillId="0" borderId="0" xfId="0" applyFont="1" applyFill="1" applyAlignment="1">
      <alignment horizontal="left" vertical="top" wrapText="1"/>
    </xf>
    <xf numFmtId="0" fontId="329" fillId="0" borderId="2" xfId="0" applyFont="1" applyFill="1" applyBorder="1" applyAlignment="1">
      <alignment horizontal="right" vertical="top" wrapText="1"/>
    </xf>
    <xf numFmtId="0" fontId="329" fillId="0" borderId="2" xfId="0" applyFont="1" applyBorder="1" applyAlignment="1">
      <alignment vertical="top" wrapText="1"/>
    </xf>
    <xf numFmtId="0" fontId="337" fillId="6" borderId="2" xfId="0" applyFont="1" applyFill="1" applyBorder="1" applyAlignment="1">
      <alignment horizontal="center" vertical="center"/>
    </xf>
    <xf numFmtId="0" fontId="336" fillId="13" borderId="0" xfId="0" applyFont="1" applyFill="1" applyBorder="1" applyAlignment="1">
      <alignment horizontal="center" vertical="center"/>
    </xf>
    <xf numFmtId="0" fontId="336" fillId="13" borderId="2" xfId="0" applyFont="1" applyFill="1" applyBorder="1" applyAlignment="1">
      <alignment horizontal="center" vertical="center"/>
    </xf>
    <xf numFmtId="0" fontId="361" fillId="5" borderId="1" xfId="0" applyFont="1" applyFill="1" applyBorder="1" applyAlignment="1">
      <alignment horizontal="center" vertical="center"/>
    </xf>
    <xf numFmtId="0" fontId="361" fillId="5" borderId="2" xfId="0" applyFont="1" applyFill="1" applyBorder="1" applyAlignment="1">
      <alignment horizontal="center" vertical="center"/>
    </xf>
    <xf numFmtId="0" fontId="337" fillId="5" borderId="1" xfId="0" applyFont="1" applyFill="1" applyBorder="1" applyAlignment="1">
      <alignment horizontal="center" vertical="center"/>
    </xf>
    <xf numFmtId="0" fontId="337" fillId="5" borderId="0" xfId="0" applyFont="1" applyFill="1" applyBorder="1" applyAlignment="1">
      <alignment horizontal="center" vertical="center"/>
    </xf>
    <xf numFmtId="0" fontId="402" fillId="11" borderId="1" xfId="0" applyFont="1" applyFill="1" applyBorder="1" applyAlignment="1">
      <alignment horizontal="center" vertical="center" wrapText="1"/>
    </xf>
    <xf numFmtId="0" fontId="377" fillId="11" borderId="0" xfId="0" applyFont="1" applyFill="1" applyBorder="1" applyAlignment="1">
      <alignment horizontal="center" vertical="center" wrapText="1"/>
    </xf>
    <xf numFmtId="0" fontId="336" fillId="3" borderId="1" xfId="0" applyFont="1" applyFill="1" applyBorder="1" applyAlignment="1">
      <alignment horizontal="center" vertical="center" wrapText="1"/>
    </xf>
    <xf numFmtId="0" fontId="336" fillId="3" borderId="0" xfId="0" applyFont="1" applyFill="1" applyBorder="1" applyAlignment="1">
      <alignment horizontal="center" vertical="center" wrapText="1"/>
    </xf>
    <xf numFmtId="0" fontId="358" fillId="3" borderId="0" xfId="0" applyFont="1" applyFill="1" applyAlignment="1">
      <alignment horizontal="center" vertical="center" wrapText="1"/>
    </xf>
    <xf numFmtId="0" fontId="358" fillId="3" borderId="0" xfId="0" applyFont="1" applyFill="1" applyBorder="1" applyAlignment="1">
      <alignment horizontal="center" vertical="center" wrapText="1"/>
    </xf>
    <xf numFmtId="0" fontId="264" fillId="11" borderId="0" xfId="0" applyFont="1" applyFill="1" applyBorder="1" applyAlignment="1">
      <alignment horizontal="center" vertical="center" wrapText="1"/>
    </xf>
    <xf numFmtId="0" fontId="264" fillId="11" borderId="2" xfId="0" applyFont="1" applyFill="1" applyBorder="1" applyAlignment="1">
      <alignment horizontal="center" vertical="center" wrapText="1"/>
    </xf>
    <xf numFmtId="0" fontId="208" fillId="0" borderId="0" xfId="0" applyFont="1" applyFill="1" applyBorder="1" applyAlignment="1">
      <alignment horizontal="right" vertical="top" wrapText="1"/>
    </xf>
    <xf numFmtId="0" fontId="0" fillId="0" borderId="0" xfId="0" applyFont="1" applyFill="1" applyAlignment="1">
      <alignment vertical="top" wrapText="1"/>
    </xf>
    <xf numFmtId="0" fontId="208" fillId="0" borderId="0" xfId="0" applyFont="1" applyBorder="1" applyAlignment="1">
      <alignment horizontal="left" vertical="top" wrapText="1"/>
    </xf>
    <xf numFmtId="0" fontId="0" fillId="0" borderId="0" xfId="0" applyFont="1" applyBorder="1" applyAlignment="1">
      <alignment vertical="top" wrapText="1"/>
    </xf>
    <xf numFmtId="164" fontId="264" fillId="0" borderId="0" xfId="0" applyNumberFormat="1" applyFont="1" applyFill="1" applyBorder="1" applyAlignment="1">
      <alignment horizontal="left" vertical="top" wrapText="1"/>
    </xf>
    <xf numFmtId="0" fontId="220" fillId="0" borderId="2" xfId="0" applyFont="1" applyBorder="1" applyAlignment="1">
      <alignment vertical="top" wrapText="1"/>
    </xf>
    <xf numFmtId="0" fontId="228" fillId="0" borderId="2" xfId="0" applyFont="1" applyBorder="1" applyAlignment="1">
      <alignment vertical="top" wrapText="1"/>
    </xf>
    <xf numFmtId="164" fontId="220" fillId="0" borderId="2" xfId="0" applyNumberFormat="1" applyFont="1" applyFill="1" applyBorder="1" applyAlignment="1">
      <alignment horizontal="right" vertical="top" wrapText="1"/>
    </xf>
    <xf numFmtId="0" fontId="228" fillId="0" borderId="2" xfId="0" applyFont="1" applyFill="1" applyBorder="1" applyAlignment="1">
      <alignment vertical="top" wrapText="1"/>
    </xf>
    <xf numFmtId="0" fontId="218" fillId="0" borderId="0" xfId="0" applyFont="1" applyFill="1" applyBorder="1" applyAlignment="1">
      <alignment horizontal="right" vertical="top" wrapText="1"/>
    </xf>
    <xf numFmtId="0" fontId="0" fillId="0" borderId="0" xfId="0" applyFill="1" applyBorder="1" applyAlignment="1">
      <alignment vertical="top" wrapText="1"/>
    </xf>
    <xf numFmtId="0" fontId="225" fillId="0" borderId="1" xfId="0" applyFont="1" applyFill="1" applyBorder="1" applyAlignment="1">
      <alignment horizontal="left" vertical="top" wrapText="1"/>
    </xf>
    <xf numFmtId="0" fontId="216" fillId="0" borderId="0" xfId="0" applyFont="1" applyAlignment="1">
      <alignment horizontal="left" vertical="top" wrapText="1"/>
    </xf>
    <xf numFmtId="0" fontId="216" fillId="0" borderId="1" xfId="0" applyFont="1" applyBorder="1" applyAlignment="1">
      <alignment horizontal="left" vertical="top" wrapText="1"/>
    </xf>
    <xf numFmtId="0" fontId="219" fillId="0" borderId="0" xfId="0" applyFont="1" applyFill="1" applyAlignment="1">
      <alignment horizontal="right" vertical="top" wrapText="1"/>
    </xf>
    <xf numFmtId="0" fontId="220" fillId="0" borderId="0" xfId="0" applyFont="1" applyAlignment="1">
      <alignment horizontal="right" vertical="top" wrapText="1"/>
    </xf>
    <xf numFmtId="0" fontId="41" fillId="0" borderId="2" xfId="0" applyFont="1" applyFill="1" applyBorder="1" applyAlignment="1">
      <alignment vertical="top" wrapText="1"/>
    </xf>
    <xf numFmtId="0" fontId="361" fillId="10" borderId="1" xfId="0" applyFont="1" applyFill="1" applyBorder="1" applyAlignment="1">
      <alignment horizontal="center" vertical="center"/>
    </xf>
    <xf numFmtId="0" fontId="361" fillId="10" borderId="5" xfId="0" applyFont="1" applyFill="1" applyBorder="1" applyAlignment="1">
      <alignment horizontal="center" vertical="center"/>
    </xf>
    <xf numFmtId="0" fontId="187" fillId="0" borderId="0" xfId="0" applyFont="1" applyFill="1" applyAlignment="1">
      <alignment vertical="top" wrapText="1"/>
    </xf>
    <xf numFmtId="0" fontId="6" fillId="0" borderId="0" xfId="0" applyFont="1" applyFill="1" applyBorder="1" applyAlignment="1">
      <alignment vertical="center"/>
    </xf>
    <xf numFmtId="0" fontId="91" fillId="0" borderId="0" xfId="0" applyFont="1" applyFill="1" applyBorder="1" applyAlignment="1">
      <alignment vertical="center"/>
    </xf>
    <xf numFmtId="0" fontId="0" fillId="0" borderId="0" xfId="0" applyFill="1" applyAlignment="1">
      <alignment vertical="center"/>
    </xf>
    <xf numFmtId="0" fontId="33" fillId="0"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264" fillId="0" borderId="1" xfId="0" applyFont="1" applyFill="1" applyBorder="1" applyAlignment="1">
      <alignment horizontal="left" vertical="top" wrapText="1"/>
    </xf>
    <xf numFmtId="0" fontId="336" fillId="11" borderId="1" xfId="0" applyFont="1" applyFill="1" applyBorder="1" applyAlignment="1">
      <alignment horizontal="center" vertical="center" wrapText="1"/>
    </xf>
    <xf numFmtId="0" fontId="264" fillId="11" borderId="0" xfId="0" applyFont="1" applyFill="1" applyBorder="1" applyAlignment="1">
      <alignment vertical="center" wrapText="1"/>
    </xf>
    <xf numFmtId="0" fontId="264" fillId="11" borderId="2" xfId="0" applyFont="1" applyFill="1" applyBorder="1" applyAlignment="1">
      <alignment vertical="center" wrapText="1"/>
    </xf>
    <xf numFmtId="0" fontId="340" fillId="20" borderId="1" xfId="0" applyFont="1" applyFill="1" applyBorder="1" applyAlignment="1">
      <alignment horizontal="center" vertical="center"/>
    </xf>
    <xf numFmtId="0" fontId="301" fillId="0" borderId="0" xfId="0" applyFont="1" applyAlignment="1">
      <alignment horizontal="center" vertical="center"/>
    </xf>
    <xf numFmtId="0" fontId="301" fillId="0" borderId="2" xfId="0" applyFont="1" applyBorder="1" applyAlignment="1">
      <alignment horizontal="center" vertical="center"/>
    </xf>
    <xf numFmtId="0" fontId="292" fillId="18" borderId="0" xfId="0" applyFont="1" applyFill="1" applyAlignment="1">
      <alignment horizontal="center" vertical="center" wrapText="1"/>
    </xf>
    <xf numFmtId="0" fontId="294" fillId="0" borderId="0" xfId="0" applyFont="1" applyAlignment="1">
      <alignment horizontal="center" vertical="center" wrapText="1"/>
    </xf>
    <xf numFmtId="0" fontId="290" fillId="16" borderId="0" xfId="0" applyFont="1" applyFill="1" applyAlignment="1">
      <alignment horizontal="center" vertical="center" wrapText="1"/>
    </xf>
    <xf numFmtId="0" fontId="235" fillId="0" borderId="0" xfId="0" applyFont="1" applyAlignment="1">
      <alignment horizontal="center" vertical="center" wrapText="1"/>
    </xf>
    <xf numFmtId="0" fontId="336" fillId="10" borderId="2" xfId="0" applyFont="1" applyFill="1" applyBorder="1" applyAlignment="1">
      <alignment horizontal="center" vertical="center" wrapText="1"/>
    </xf>
    <xf numFmtId="0" fontId="336" fillId="3" borderId="2" xfId="0" applyFont="1" applyFill="1" applyBorder="1" applyAlignment="1">
      <alignment horizontal="center" vertical="center" wrapText="1"/>
    </xf>
    <xf numFmtId="0" fontId="290" fillId="19" borderId="0" xfId="0" applyFont="1" applyFill="1" applyAlignment="1">
      <alignment horizontal="center" wrapText="1"/>
    </xf>
    <xf numFmtId="0" fontId="290" fillId="0" borderId="0" xfId="0" applyFont="1" applyAlignment="1">
      <alignment horizontal="center" wrapText="1"/>
    </xf>
    <xf numFmtId="0" fontId="259" fillId="0" borderId="2" xfId="0" applyFont="1" applyFill="1" applyBorder="1" applyAlignment="1">
      <alignment horizontal="right" vertical="top" wrapText="1"/>
    </xf>
    <xf numFmtId="0" fontId="259" fillId="0" borderId="2" xfId="0" applyFont="1" applyBorder="1" applyAlignment="1">
      <alignment vertical="top" wrapText="1"/>
    </xf>
    <xf numFmtId="0" fontId="222" fillId="0" borderId="1" xfId="0" applyFont="1" applyFill="1" applyBorder="1" applyAlignment="1">
      <alignment horizontal="left" vertical="top" wrapText="1"/>
    </xf>
    <xf numFmtId="0" fontId="224" fillId="0" borderId="0" xfId="0" applyFont="1" applyAlignment="1">
      <alignment horizontal="left" vertical="top" wrapText="1"/>
    </xf>
    <xf numFmtId="0" fontId="224" fillId="0" borderId="1" xfId="0" applyFont="1" applyBorder="1" applyAlignment="1">
      <alignment horizontal="left" vertical="top" wrapText="1"/>
    </xf>
    <xf numFmtId="0" fontId="337" fillId="5" borderId="2" xfId="0" applyFont="1" applyFill="1" applyBorder="1" applyAlignment="1">
      <alignment horizontal="center" vertical="center"/>
    </xf>
    <xf numFmtId="0" fontId="403" fillId="5" borderId="1" xfId="0" applyFont="1" applyFill="1" applyBorder="1" applyAlignment="1">
      <alignment horizontal="center" vertical="center"/>
    </xf>
    <xf numFmtId="0" fontId="403" fillId="5" borderId="2" xfId="0" applyFont="1" applyFill="1" applyBorder="1" applyAlignment="1">
      <alignment horizontal="center" vertical="center"/>
    </xf>
    <xf numFmtId="0" fontId="336" fillId="13" borderId="5" xfId="0" applyFont="1" applyFill="1" applyBorder="1" applyAlignment="1">
      <alignment horizontal="center" vertical="center"/>
    </xf>
    <xf numFmtId="0" fontId="216" fillId="0" borderId="0" xfId="0" applyFont="1" applyFill="1" applyBorder="1" applyAlignment="1">
      <alignment horizontal="right" vertical="top" wrapText="1"/>
    </xf>
    <xf numFmtId="0" fontId="400" fillId="6" borderId="1" xfId="0" applyFont="1" applyFill="1" applyBorder="1" applyAlignment="1">
      <alignment horizontal="center" vertical="center"/>
    </xf>
    <xf numFmtId="0" fontId="400" fillId="6" borderId="2" xfId="0" applyFont="1" applyFill="1" applyBorder="1" applyAlignment="1">
      <alignment horizontal="center" vertical="center"/>
    </xf>
    <xf numFmtId="0" fontId="399" fillId="10" borderId="1" xfId="0" applyFont="1" applyFill="1" applyBorder="1" applyAlignment="1">
      <alignment horizontal="center" vertical="center" wrapText="1"/>
    </xf>
    <xf numFmtId="0" fontId="267" fillId="11" borderId="0" xfId="0" applyFont="1" applyFill="1" applyBorder="1" applyAlignment="1">
      <alignment horizontal="center" vertical="center" wrapText="1"/>
    </xf>
    <xf numFmtId="0" fontId="267" fillId="11" borderId="2" xfId="0" applyFont="1" applyFill="1" applyBorder="1" applyAlignment="1">
      <alignment horizontal="center" vertical="center" wrapText="1"/>
    </xf>
    <xf numFmtId="0" fontId="399" fillId="13" borderId="0" xfId="0" applyFont="1" applyFill="1" applyBorder="1" applyAlignment="1">
      <alignment horizontal="center" vertical="center"/>
    </xf>
    <xf numFmtId="0" fontId="399" fillId="13" borderId="5" xfId="0" applyFont="1" applyFill="1" applyBorder="1" applyAlignment="1">
      <alignment horizontal="center" vertical="center"/>
    </xf>
    <xf numFmtId="0" fontId="400" fillId="5" borderId="1" xfId="0" applyFont="1" applyFill="1" applyBorder="1" applyAlignment="1">
      <alignment horizontal="center" vertical="center"/>
    </xf>
    <xf numFmtId="0" fontId="400" fillId="5" borderId="0" xfId="0" applyFont="1" applyFill="1" applyBorder="1" applyAlignment="1">
      <alignment horizontal="center" vertical="center"/>
    </xf>
    <xf numFmtId="0" fontId="399" fillId="3" borderId="1" xfId="0" applyFont="1" applyFill="1" applyBorder="1" applyAlignment="1">
      <alignment horizontal="center" vertical="center" wrapText="1"/>
    </xf>
    <xf numFmtId="0" fontId="399" fillId="3" borderId="0" xfId="0" applyFont="1" applyFill="1" applyBorder="1" applyAlignment="1">
      <alignment horizontal="center" vertical="center" wrapText="1"/>
    </xf>
    <xf numFmtId="0" fontId="401" fillId="3" borderId="0" xfId="0" applyFont="1" applyFill="1" applyAlignment="1">
      <alignment horizontal="center" vertical="center" wrapText="1"/>
    </xf>
    <xf numFmtId="0" fontId="401" fillId="3" borderId="0" xfId="0" applyFont="1" applyFill="1" applyBorder="1" applyAlignment="1">
      <alignment horizontal="center" vertical="center" wrapText="1"/>
    </xf>
    <xf numFmtId="0" fontId="124" fillId="0" borderId="1" xfId="0" applyFont="1" applyFill="1" applyBorder="1" applyAlignment="1">
      <alignment horizontal="right" vertical="top" wrapText="1"/>
    </xf>
    <xf numFmtId="0" fontId="173" fillId="0" borderId="0" xfId="0" applyFont="1" applyAlignment="1">
      <alignment vertical="top" wrapText="1"/>
    </xf>
    <xf numFmtId="0" fontId="225" fillId="0" borderId="0" xfId="0" applyFont="1" applyFill="1" applyAlignment="1">
      <alignment horizontal="left" vertical="top" wrapText="1"/>
    </xf>
    <xf numFmtId="0" fontId="346" fillId="0" borderId="1" xfId="0" applyFont="1" applyFill="1" applyBorder="1" applyAlignment="1">
      <alignment horizontal="left" vertical="top" wrapText="1"/>
    </xf>
    <xf numFmtId="0" fontId="349" fillId="0" borderId="0" xfId="0" applyFont="1" applyAlignment="1">
      <alignment vertical="top" wrapText="1"/>
    </xf>
    <xf numFmtId="0" fontId="403" fillId="10" borderId="1" xfId="0" applyFont="1" applyFill="1" applyBorder="1" applyAlignment="1">
      <alignment horizontal="center" vertical="center"/>
    </xf>
    <xf numFmtId="0" fontId="403" fillId="10" borderId="5" xfId="0" applyFont="1" applyFill="1" applyBorder="1" applyAlignment="1">
      <alignment horizontal="center" vertical="center"/>
    </xf>
    <xf numFmtId="0" fontId="220" fillId="0" borderId="0" xfId="0" applyFont="1" applyBorder="1" applyAlignment="1">
      <alignment vertical="top" wrapText="1"/>
    </xf>
    <xf numFmtId="0" fontId="228" fillId="0" borderId="0" xfId="0" applyFont="1" applyBorder="1" applyAlignment="1">
      <alignment vertical="top" wrapText="1"/>
    </xf>
    <xf numFmtId="0" fontId="216" fillId="0" borderId="2" xfId="0" applyFont="1" applyFill="1" applyBorder="1" applyAlignment="1">
      <alignment horizontal="right" vertical="top" wrapText="1"/>
    </xf>
    <xf numFmtId="0" fontId="90" fillId="0" borderId="0" xfId="0" applyFont="1" applyAlignment="1">
      <alignment horizontal="center" wrapText="1"/>
    </xf>
    <xf numFmtId="0" fontId="219" fillId="0" borderId="1" xfId="0" applyFont="1" applyFill="1" applyBorder="1" applyAlignment="1">
      <alignment vertical="top" wrapText="1"/>
    </xf>
    <xf numFmtId="0" fontId="220" fillId="0" borderId="0" xfId="0" applyFont="1" applyFill="1" applyBorder="1" applyAlignment="1">
      <alignment vertical="top" wrapText="1"/>
    </xf>
    <xf numFmtId="0" fontId="220" fillId="0" borderId="1" xfId="0" applyFont="1" applyFill="1" applyBorder="1" applyAlignment="1">
      <alignment vertical="top" wrapText="1"/>
    </xf>
    <xf numFmtId="164" fontId="216" fillId="0" borderId="2" xfId="0" applyNumberFormat="1" applyFont="1" applyFill="1" applyBorder="1" applyAlignment="1">
      <alignment horizontal="right" vertical="top" wrapText="1"/>
    </xf>
    <xf numFmtId="0" fontId="216" fillId="0" borderId="2" xfId="0" applyFont="1" applyBorder="1" applyAlignment="1">
      <alignment horizontal="right" vertical="top" wrapText="1"/>
    </xf>
    <xf numFmtId="0" fontId="218" fillId="0" borderId="1" xfId="0" applyFont="1" applyFill="1" applyBorder="1" applyAlignment="1">
      <alignment horizontal="right" vertical="top" wrapText="1"/>
    </xf>
    <xf numFmtId="0" fontId="0" fillId="0" borderId="1" xfId="0" applyFill="1" applyBorder="1" applyAlignment="1">
      <alignment vertical="top" wrapText="1"/>
    </xf>
    <xf numFmtId="0" fontId="200" fillId="0" borderId="0" xfId="0" applyFont="1" applyFill="1" applyAlignment="1">
      <alignment horizontal="center" vertical="center" wrapText="1"/>
    </xf>
    <xf numFmtId="0" fontId="220" fillId="0" borderId="0" xfId="0" applyFont="1" applyFill="1" applyAlignment="1">
      <alignment horizontal="right" vertical="top" wrapText="1"/>
    </xf>
    <xf numFmtId="0" fontId="216" fillId="0" borderId="0" xfId="0" applyFont="1" applyFill="1" applyAlignment="1">
      <alignment horizontal="left" vertical="top" wrapText="1"/>
    </xf>
    <xf numFmtId="0" fontId="34" fillId="0" borderId="2" xfId="0" applyFont="1" applyFill="1" applyBorder="1" applyAlignment="1">
      <alignment horizontal="right" vertical="top" wrapText="1"/>
    </xf>
    <xf numFmtId="0" fontId="0" fillId="0" borderId="2" xfId="0" applyFill="1" applyBorder="1" applyAlignment="1">
      <alignment horizontal="right" vertical="top" wrapText="1"/>
    </xf>
    <xf numFmtId="0" fontId="359" fillId="11" borderId="1" xfId="0" applyFont="1" applyFill="1" applyBorder="1" applyAlignment="1">
      <alignment horizontal="center" vertical="center" wrapText="1"/>
    </xf>
    <xf numFmtId="0" fontId="360" fillId="11" borderId="0" xfId="0" applyFont="1" applyFill="1" applyBorder="1" applyAlignment="1">
      <alignment horizontal="center" vertical="center" wrapText="1"/>
    </xf>
    <xf numFmtId="0" fontId="218" fillId="0" borderId="0" xfId="0" applyFont="1" applyAlignment="1">
      <alignment horizontal="right" vertical="top" wrapText="1"/>
    </xf>
    <xf numFmtId="0" fontId="367" fillId="0" borderId="0" xfId="0" applyFont="1" applyFill="1" applyBorder="1" applyAlignment="1">
      <alignment vertical="top" wrapText="1"/>
    </xf>
    <xf numFmtId="0" fontId="220" fillId="0" borderId="0" xfId="0" applyFont="1" applyFill="1" applyBorder="1" applyAlignment="1">
      <alignment horizontal="right" vertical="top" wrapText="1"/>
    </xf>
    <xf numFmtId="0" fontId="6" fillId="0" borderId="0" xfId="0" applyFont="1" applyAlignment="1">
      <alignment vertical="center"/>
    </xf>
    <xf numFmtId="0" fontId="339" fillId="3" borderId="1" xfId="0" applyFont="1" applyFill="1" applyBorder="1" applyAlignment="1">
      <alignment horizontal="center" vertical="center"/>
    </xf>
    <xf numFmtId="0" fontId="263" fillId="3" borderId="2" xfId="0" applyFont="1" applyFill="1" applyBorder="1" applyAlignment="1">
      <alignment horizontal="center" vertical="center"/>
    </xf>
    <xf numFmtId="0" fontId="337" fillId="2" borderId="1" xfId="0" applyFont="1" applyFill="1" applyBorder="1" applyAlignment="1">
      <alignment horizontal="center" vertical="center"/>
    </xf>
    <xf numFmtId="0" fontId="337" fillId="2" borderId="0" xfId="0" applyFont="1" applyFill="1" applyBorder="1" applyAlignment="1">
      <alignment horizontal="center" vertical="center"/>
    </xf>
    <xf numFmtId="0" fontId="361" fillId="2" borderId="1" xfId="0" applyFont="1" applyFill="1" applyBorder="1" applyAlignment="1">
      <alignment horizontal="center" vertical="center"/>
    </xf>
    <xf numFmtId="0" fontId="361" fillId="2" borderId="2" xfId="0" applyFont="1" applyFill="1" applyBorder="1" applyAlignment="1">
      <alignment horizontal="center" vertical="center"/>
    </xf>
    <xf numFmtId="0" fontId="39" fillId="0" borderId="0" xfId="0" applyFont="1" applyFill="1" applyAlignment="1">
      <alignment vertical="top" wrapText="1"/>
    </xf>
    <xf numFmtId="0" fontId="130" fillId="0" borderId="0" xfId="0" applyFont="1" applyAlignment="1">
      <alignment vertical="center"/>
    </xf>
    <xf numFmtId="0" fontId="169" fillId="0" borderId="0" xfId="0" applyFont="1" applyAlignment="1">
      <alignment vertical="center"/>
    </xf>
    <xf numFmtId="0" fontId="170" fillId="0" borderId="0" xfId="0" applyFont="1" applyAlignment="1">
      <alignment vertical="center"/>
    </xf>
    <xf numFmtId="0" fontId="171" fillId="0" borderId="0" xfId="0" applyFont="1" applyAlignment="1"/>
    <xf numFmtId="0" fontId="0" fillId="0" borderId="0" xfId="0" applyBorder="1" applyAlignment="1">
      <alignment vertical="top" wrapText="1"/>
    </xf>
    <xf numFmtId="0" fontId="187" fillId="0" borderId="2" xfId="0" applyFont="1" applyBorder="1" applyAlignment="1">
      <alignment vertical="top" wrapText="1"/>
    </xf>
    <xf numFmtId="0" fontId="0" fillId="0" borderId="2" xfId="0" applyBorder="1" applyAlignment="1">
      <alignment vertical="top" wrapText="1"/>
    </xf>
    <xf numFmtId="0" fontId="299" fillId="0" borderId="0" xfId="0" applyFont="1" applyFill="1" applyAlignment="1">
      <alignment horizontal="center"/>
    </xf>
    <xf numFmtId="0" fontId="299" fillId="0" borderId="0" xfId="0" applyFont="1" applyAlignment="1">
      <alignment horizontal="center"/>
    </xf>
    <xf numFmtId="0" fontId="289" fillId="0" borderId="6" xfId="0" applyFont="1" applyBorder="1" applyAlignment="1">
      <alignment horizontal="center"/>
    </xf>
    <xf numFmtId="0" fontId="0" fillId="0" borderId="6" xfId="0" applyBorder="1" applyAlignment="1">
      <alignment horizontal="center"/>
    </xf>
    <xf numFmtId="0" fontId="289" fillId="0" borderId="0" xfId="0" applyFont="1" applyBorder="1" applyAlignment="1">
      <alignment horizontal="center"/>
    </xf>
    <xf numFmtId="0" fontId="0" fillId="0" borderId="0" xfId="0" applyAlignment="1">
      <alignment horizontal="center"/>
    </xf>
    <xf numFmtId="0" fontId="340" fillId="0" borderId="0" xfId="0" applyFont="1" applyAlignment="1">
      <alignment horizontal="center" vertical="center"/>
    </xf>
    <xf numFmtId="0" fontId="340" fillId="0" borderId="5" xfId="0" applyFont="1" applyBorder="1" applyAlignment="1">
      <alignment horizontal="center" vertical="center"/>
    </xf>
    <xf numFmtId="0" fontId="39" fillId="0" borderId="2" xfId="0" applyFont="1" applyFill="1" applyBorder="1" applyAlignment="1">
      <alignment vertical="top" wrapText="1"/>
    </xf>
    <xf numFmtId="0" fontId="112" fillId="0" borderId="2" xfId="0" applyFont="1" applyFill="1" applyBorder="1" applyAlignment="1">
      <alignment vertical="top" wrapText="1"/>
    </xf>
    <xf numFmtId="0" fontId="220" fillId="0" borderId="2" xfId="0" applyFont="1" applyFill="1" applyBorder="1" applyAlignment="1">
      <alignment vertical="top" wrapText="1"/>
    </xf>
    <xf numFmtId="0" fontId="228" fillId="0" borderId="0" xfId="0" applyFont="1" applyBorder="1" applyAlignment="1">
      <alignment horizontal="left" vertical="top" wrapText="1"/>
    </xf>
    <xf numFmtId="0" fontId="236" fillId="0" borderId="0" xfId="0" applyFont="1" applyAlignment="1">
      <alignment horizontal="center" vertical="center" wrapText="1"/>
    </xf>
    <xf numFmtId="0" fontId="12" fillId="0" borderId="0" xfId="0" applyFont="1" applyFill="1" applyAlignment="1">
      <alignment horizontal="center" vertical="center" wrapText="1"/>
    </xf>
    <xf numFmtId="0" fontId="0" fillId="0" borderId="0" xfId="0" applyFill="1" applyAlignment="1">
      <alignment vertical="center" wrapText="1"/>
    </xf>
    <xf numFmtId="0" fontId="34" fillId="0" borderId="4" xfId="0" applyFont="1" applyFill="1" applyBorder="1" applyAlignment="1">
      <alignment horizontal="left" vertical="top" wrapText="1"/>
    </xf>
    <xf numFmtId="0" fontId="267" fillId="0" borderId="2" xfId="0" applyFont="1" applyBorder="1" applyAlignment="1">
      <alignment horizontal="right" vertical="top" wrapText="1"/>
    </xf>
    <xf numFmtId="0" fontId="267" fillId="0" borderId="2" xfId="0" applyFont="1" applyBorder="1" applyAlignment="1">
      <alignment horizontal="right" wrapText="1"/>
    </xf>
    <xf numFmtId="0" fontId="220" fillId="0" borderId="1" xfId="0" applyFont="1" applyBorder="1" applyAlignment="1">
      <alignment horizontal="left" vertical="top" wrapText="1"/>
    </xf>
    <xf numFmtId="0" fontId="228" fillId="0" borderId="1" xfId="0" applyFont="1" applyBorder="1" applyAlignment="1">
      <alignment vertical="top" wrapText="1"/>
    </xf>
    <xf numFmtId="0" fontId="39" fillId="0" borderId="0" xfId="0" applyFont="1" applyAlignment="1">
      <alignment vertical="top" wrapText="1"/>
    </xf>
    <xf numFmtId="0" fontId="112" fillId="0" borderId="0" xfId="0" applyFont="1" applyAlignment="1">
      <alignment vertical="top" wrapText="1"/>
    </xf>
    <xf numFmtId="0" fontId="98" fillId="5" borderId="1" xfId="0" applyFont="1" applyFill="1" applyBorder="1" applyAlignment="1">
      <alignment horizontal="center" vertical="center"/>
    </xf>
    <xf numFmtId="0" fontId="98" fillId="5" borderId="0" xfId="0" applyFont="1" applyFill="1" applyBorder="1" applyAlignment="1">
      <alignment horizontal="center" vertical="center"/>
    </xf>
    <xf numFmtId="0" fontId="93" fillId="0" borderId="0" xfId="0" applyFont="1" applyFill="1" applyBorder="1" applyAlignment="1">
      <alignment vertical="center" wrapText="1"/>
    </xf>
    <xf numFmtId="0" fontId="0" fillId="0" borderId="2" xfId="0" applyFill="1" applyBorder="1" applyAlignment="1">
      <alignment vertical="center" wrapText="1"/>
    </xf>
    <xf numFmtId="0" fontId="16" fillId="5" borderId="1" xfId="0" applyFont="1" applyFill="1" applyBorder="1" applyAlignment="1">
      <alignment horizontal="center" vertical="center"/>
    </xf>
    <xf numFmtId="0" fontId="101" fillId="5" borderId="2" xfId="0" applyFont="1" applyFill="1" applyBorder="1" applyAlignment="1">
      <alignment horizontal="center" vertical="center"/>
    </xf>
    <xf numFmtId="0" fontId="228" fillId="0" borderId="0" xfId="0" applyFont="1" applyFill="1" applyAlignment="1">
      <alignment horizontal="right" vertical="top" wrapText="1"/>
    </xf>
    <xf numFmtId="0" fontId="336" fillId="10" borderId="4" xfId="0" applyFont="1" applyFill="1" applyBorder="1" applyAlignment="1">
      <alignment horizontal="center" vertical="center" wrapText="1"/>
    </xf>
    <xf numFmtId="0" fontId="208" fillId="0" borderId="0" xfId="0" applyFont="1" applyAlignment="1">
      <alignment vertical="top" wrapText="1"/>
    </xf>
    <xf numFmtId="0" fontId="39" fillId="0" borderId="0" xfId="0" applyFont="1" applyFill="1" applyBorder="1" applyAlignment="1">
      <alignment horizontal="right" vertical="top" wrapText="1"/>
    </xf>
    <xf numFmtId="0" fontId="0" fillId="0" borderId="0" xfId="0" applyFill="1" applyBorder="1" applyAlignment="1">
      <alignment horizontal="right" vertical="top" wrapText="1"/>
    </xf>
    <xf numFmtId="0" fontId="336" fillId="10" borderId="0" xfId="0" applyFont="1" applyFill="1" applyAlignment="1">
      <alignment horizontal="center" vertical="center" wrapText="1"/>
    </xf>
    <xf numFmtId="0" fontId="112" fillId="0" borderId="0" xfId="0" applyFont="1" applyBorder="1" applyAlignment="1">
      <alignment vertical="top" wrapText="1"/>
    </xf>
    <xf numFmtId="0" fontId="210" fillId="0" borderId="0" xfId="0" applyFont="1" applyFill="1" applyBorder="1" applyAlignment="1">
      <alignment vertical="top" wrapText="1"/>
    </xf>
    <xf numFmtId="164" fontId="208" fillId="0" borderId="0" xfId="0" applyNumberFormat="1" applyFont="1" applyFill="1" applyBorder="1" applyAlignment="1">
      <alignment horizontal="right" vertical="top" wrapText="1"/>
    </xf>
    <xf numFmtId="0" fontId="208" fillId="0" borderId="0" xfId="0" applyFont="1" applyFill="1" applyAlignment="1">
      <alignment horizontal="right" vertical="top" wrapText="1"/>
    </xf>
    <xf numFmtId="0" fontId="82" fillId="0" borderId="0" xfId="0" applyFont="1" applyFill="1" applyAlignment="1">
      <alignment horizontal="right" vertical="top" wrapText="1"/>
    </xf>
    <xf numFmtId="164" fontId="208" fillId="0" borderId="2" xfId="0" applyNumberFormat="1" applyFont="1" applyFill="1" applyBorder="1" applyAlignment="1">
      <alignment horizontal="center" vertical="top" wrapText="1"/>
    </xf>
    <xf numFmtId="0" fontId="208" fillId="0" borderId="2" xfId="0" applyFont="1" applyBorder="1" applyAlignment="1">
      <alignment vertical="top" wrapText="1"/>
    </xf>
    <xf numFmtId="3" fontId="82" fillId="0" borderId="0" xfId="0" applyNumberFormat="1" applyFont="1" applyFill="1" applyBorder="1" applyAlignment="1">
      <alignment horizontal="right" vertical="top" wrapText="1"/>
    </xf>
    <xf numFmtId="1" fontId="387" fillId="0" borderId="2" xfId="0" applyNumberFormat="1" applyFont="1" applyFill="1" applyBorder="1" applyAlignment="1">
      <alignment horizontal="left" vertical="top" wrapText="1"/>
    </xf>
    <xf numFmtId="0" fontId="387" fillId="0" borderId="2" xfId="0" applyFont="1" applyFill="1" applyBorder="1" applyAlignment="1">
      <alignment horizontal="left" vertical="top" wrapText="1"/>
    </xf>
    <xf numFmtId="0" fontId="326" fillId="20" borderId="1" xfId="0" applyFont="1" applyFill="1" applyBorder="1" applyAlignment="1">
      <alignment horizontal="center" vertical="center"/>
    </xf>
    <xf numFmtId="0" fontId="326" fillId="0" borderId="0" xfId="0" applyFont="1" applyAlignment="1">
      <alignment horizontal="center" vertical="center"/>
    </xf>
    <xf numFmtId="0" fontId="326" fillId="0" borderId="5" xfId="0" applyFont="1" applyBorder="1" applyAlignment="1">
      <alignment horizontal="center" vertical="center"/>
    </xf>
    <xf numFmtId="0" fontId="39" fillId="0" borderId="2" xfId="0" applyFont="1" applyFill="1" applyBorder="1" applyAlignment="1">
      <alignment horizontal="right" vertical="top" wrapText="1"/>
    </xf>
    <xf numFmtId="0" fontId="0" fillId="0" borderId="2" xfId="0" applyFill="1" applyBorder="1" applyAlignment="1">
      <alignment vertical="top" wrapText="1"/>
    </xf>
    <xf numFmtId="0" fontId="220" fillId="0" borderId="1" xfId="0" applyFont="1" applyFill="1" applyBorder="1" applyAlignment="1">
      <alignment horizontal="right" vertical="top" wrapText="1"/>
    </xf>
    <xf numFmtId="0" fontId="228" fillId="0" borderId="1" xfId="0" applyFont="1" applyFill="1" applyBorder="1" applyAlignment="1">
      <alignment vertical="top" wrapText="1"/>
    </xf>
    <xf numFmtId="0" fontId="220" fillId="0" borderId="0" xfId="0" applyFont="1" applyFill="1" applyAlignment="1">
      <alignment horizontal="left" vertical="top" wrapText="1"/>
    </xf>
    <xf numFmtId="0" fontId="345" fillId="0" borderId="0" xfId="0" applyFont="1" applyFill="1" applyBorder="1" applyAlignment="1">
      <alignment vertical="top" wrapText="1"/>
    </xf>
    <xf numFmtId="0" fontId="39" fillId="0" borderId="1" xfId="0" applyFont="1" applyFill="1" applyBorder="1" applyAlignment="1">
      <alignment vertical="top" wrapText="1"/>
    </xf>
    <xf numFmtId="164" fontId="208" fillId="0" borderId="2" xfId="0" applyNumberFormat="1" applyFont="1" applyBorder="1" applyAlignment="1">
      <alignment horizontal="right" vertical="top" wrapText="1"/>
    </xf>
    <xf numFmtId="0" fontId="208" fillId="0" borderId="2" xfId="0" applyFont="1" applyBorder="1" applyAlignment="1">
      <alignment horizontal="right" vertical="top" wrapText="1"/>
    </xf>
    <xf numFmtId="0" fontId="82" fillId="0" borderId="0" xfId="0" applyFont="1" applyBorder="1" applyAlignment="1">
      <alignment horizontal="right" vertical="top" wrapText="1"/>
    </xf>
    <xf numFmtId="0" fontId="103" fillId="0" borderId="0" xfId="0" applyFont="1" applyAlignment="1">
      <alignment horizontal="right" vertical="top" wrapText="1"/>
    </xf>
    <xf numFmtId="164" fontId="220" fillId="0" borderId="0" xfId="0" applyNumberFormat="1" applyFont="1" applyFill="1" applyBorder="1" applyAlignment="1">
      <alignment horizontal="left" vertical="top" wrapText="1"/>
    </xf>
    <xf numFmtId="0" fontId="228" fillId="0" borderId="0" xfId="0" applyFont="1" applyFill="1" applyAlignment="1">
      <alignment horizontal="left" vertical="top" wrapText="1"/>
    </xf>
    <xf numFmtId="164" fontId="82" fillId="0" borderId="1" xfId="0" applyNumberFormat="1" applyFont="1" applyBorder="1" applyAlignment="1">
      <alignment horizontal="left" vertical="top" wrapText="1"/>
    </xf>
    <xf numFmtId="0" fontId="82" fillId="0" borderId="1" xfId="0" applyFont="1" applyBorder="1" applyAlignment="1">
      <alignment horizontal="left" vertical="top" wrapText="1"/>
    </xf>
    <xf numFmtId="0" fontId="82" fillId="0" borderId="3" xfId="0" applyFont="1" applyBorder="1" applyAlignment="1">
      <alignment horizontal="left" vertical="top" wrapText="1"/>
    </xf>
    <xf numFmtId="1" fontId="397" fillId="0" borderId="0" xfId="0" applyNumberFormat="1" applyFont="1" applyBorder="1" applyAlignment="1">
      <alignment horizontal="left" vertical="top" wrapText="1"/>
    </xf>
    <xf numFmtId="0" fontId="397" fillId="0" borderId="0" xfId="0" applyFont="1" applyBorder="1" applyAlignment="1">
      <alignment horizontal="left" vertical="top" wrapText="1"/>
    </xf>
    <xf numFmtId="0" fontId="220" fillId="0" borderId="0" xfId="0" applyFont="1" applyBorder="1" applyAlignment="1">
      <alignment horizontal="left" vertical="top" wrapText="1"/>
    </xf>
    <xf numFmtId="0" fontId="367" fillId="0" borderId="0" xfId="0" applyFont="1" applyBorder="1" applyAlignment="1">
      <alignment vertical="top" wrapText="1"/>
    </xf>
    <xf numFmtId="0" fontId="7" fillId="0" borderId="0" xfId="0" applyFont="1" applyAlignment="1">
      <alignment horizontal="left" vertical="top" wrapText="1"/>
    </xf>
    <xf numFmtId="0" fontId="117" fillId="0" borderId="0" xfId="0" applyFont="1" applyAlignment="1">
      <alignment horizontal="left" vertical="top" wrapText="1"/>
    </xf>
    <xf numFmtId="0" fontId="319" fillId="4" borderId="0" xfId="0" applyFont="1" applyFill="1" applyBorder="1" applyAlignment="1">
      <alignment horizontal="left" vertical="top" wrapText="1"/>
    </xf>
    <xf numFmtId="0" fontId="208" fillId="0" borderId="0" xfId="0" applyFont="1" applyBorder="1" applyAlignment="1">
      <alignment vertical="top" wrapText="1"/>
    </xf>
    <xf numFmtId="0" fontId="0" fillId="0" borderId="0" xfId="0" applyAlignment="1">
      <alignment horizontal="right" vertical="top" wrapText="1"/>
    </xf>
    <xf numFmtId="0" fontId="120" fillId="0" borderId="0" xfId="0" applyFont="1" applyAlignment="1">
      <alignment vertical="top" wrapText="1"/>
    </xf>
    <xf numFmtId="0" fontId="121" fillId="0" borderId="0" xfId="0" applyFont="1" applyAlignment="1">
      <alignment vertical="top" wrapText="1"/>
    </xf>
    <xf numFmtId="0" fontId="361" fillId="5" borderId="0" xfId="0" applyFont="1" applyFill="1" applyBorder="1" applyAlignment="1">
      <alignment horizontal="center" vertical="center"/>
    </xf>
    <xf numFmtId="0" fontId="326" fillId="0" borderId="2" xfId="0" applyFont="1" applyBorder="1" applyAlignment="1">
      <alignment horizontal="center" vertical="center"/>
    </xf>
    <xf numFmtId="0" fontId="340" fillId="0" borderId="2" xfId="0" applyFont="1" applyBorder="1" applyAlignment="1">
      <alignment horizontal="center" vertical="center"/>
    </xf>
    <xf numFmtId="0" fontId="39" fillId="0" borderId="1" xfId="0" applyFont="1"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220" fillId="0" borderId="0" xfId="0" applyFont="1" applyBorder="1" applyAlignment="1">
      <alignment horizontal="right" vertical="top" wrapText="1"/>
    </xf>
    <xf numFmtId="0" fontId="210" fillId="0" borderId="0" xfId="0" applyFont="1" applyFill="1" applyBorder="1" applyAlignment="1">
      <alignment horizontal="right" vertical="top" wrapText="1"/>
    </xf>
    <xf numFmtId="0" fontId="0" fillId="0" borderId="0" xfId="0" applyFont="1" applyFill="1" applyBorder="1" applyAlignment="1">
      <alignment horizontal="right" vertical="top" wrapText="1"/>
    </xf>
    <xf numFmtId="0" fontId="102" fillId="3" borderId="1" xfId="0" applyFont="1" applyFill="1" applyBorder="1" applyAlignment="1">
      <alignment horizontal="center" vertical="center" wrapText="1"/>
    </xf>
    <xf numFmtId="0" fontId="102" fillId="3" borderId="0" xfId="0" applyFont="1" applyFill="1" applyBorder="1" applyAlignment="1">
      <alignment horizontal="center" vertical="center" wrapText="1"/>
    </xf>
    <xf numFmtId="0" fontId="76" fillId="3" borderId="0" xfId="0" applyFont="1" applyFill="1" applyAlignment="1">
      <alignment horizontal="center" vertical="center" wrapText="1"/>
    </xf>
    <xf numFmtId="0" fontId="76" fillId="3" borderId="0" xfId="0" applyFont="1" applyFill="1" applyBorder="1" applyAlignment="1">
      <alignment horizontal="center" vertical="center" wrapText="1"/>
    </xf>
    <xf numFmtId="0" fontId="39" fillId="0" borderId="0" xfId="0" applyFont="1" applyBorder="1" applyAlignment="1">
      <alignment horizontal="right" vertical="top" wrapText="1"/>
    </xf>
    <xf numFmtId="0" fontId="113" fillId="10" borderId="0" xfId="0" applyFont="1" applyFill="1" applyAlignment="1">
      <alignment horizontal="center" vertical="center" wrapText="1"/>
    </xf>
    <xf numFmtId="0" fontId="113" fillId="10" borderId="5" xfId="0" applyFont="1" applyFill="1" applyBorder="1" applyAlignment="1">
      <alignment horizontal="center" vertical="center" wrapText="1"/>
    </xf>
    <xf numFmtId="0" fontId="101" fillId="5" borderId="0" xfId="0" applyFont="1" applyFill="1" applyBorder="1" applyAlignment="1">
      <alignment horizontal="center" vertical="center"/>
    </xf>
    <xf numFmtId="0" fontId="10" fillId="6" borderId="1" xfId="0" applyFont="1" applyFill="1" applyBorder="1" applyAlignment="1">
      <alignment horizontal="center" vertical="center"/>
    </xf>
    <xf numFmtId="0" fontId="99" fillId="6" borderId="2" xfId="0" applyFont="1" applyFill="1" applyBorder="1" applyAlignment="1">
      <alignment horizontal="center" vertical="center"/>
    </xf>
    <xf numFmtId="0" fontId="275" fillId="10" borderId="1" xfId="0" applyFont="1" applyFill="1" applyBorder="1" applyAlignment="1">
      <alignment horizontal="center" vertical="center"/>
    </xf>
    <xf numFmtId="0" fontId="275" fillId="10" borderId="5" xfId="0" applyFont="1" applyFill="1" applyBorder="1" applyAlignment="1">
      <alignment horizontal="center" vertical="center"/>
    </xf>
    <xf numFmtId="0" fontId="345" fillId="0" borderId="0" xfId="0" applyFont="1" applyFill="1" applyBorder="1" applyAlignment="1">
      <alignment horizontal="right" vertical="top" wrapText="1"/>
    </xf>
    <xf numFmtId="0" fontId="0" fillId="0" borderId="0" xfId="0" applyFill="1" applyAlignment="1">
      <alignment horizontal="right" vertical="top" wrapText="1"/>
    </xf>
    <xf numFmtId="0" fontId="39" fillId="0" borderId="0" xfId="0" applyFont="1" applyAlignment="1">
      <alignment horizontal="left" vertical="top" wrapText="1"/>
    </xf>
    <xf numFmtId="0" fontId="130" fillId="0" borderId="0" xfId="0" applyFont="1" applyAlignment="1">
      <alignment vertical="center" wrapText="1"/>
    </xf>
    <xf numFmtId="0" fontId="388" fillId="0" borderId="0" xfId="0" applyFont="1" applyFill="1" applyAlignment="1">
      <alignment horizontal="right" vertical="top" wrapText="1"/>
    </xf>
    <xf numFmtId="0" fontId="389" fillId="0" borderId="0" xfId="0" applyFont="1" applyAlignment="1">
      <alignment vertical="top" wrapText="1"/>
    </xf>
    <xf numFmtId="0" fontId="328" fillId="19" borderId="0" xfId="0" applyFont="1" applyFill="1" applyAlignment="1">
      <alignment horizontal="center" vertical="center"/>
    </xf>
    <xf numFmtId="0" fontId="0" fillId="0" borderId="0" xfId="0" applyAlignment="1">
      <alignment horizontal="center" vertical="center"/>
    </xf>
    <xf numFmtId="0" fontId="12" fillId="11" borderId="1" xfId="0" applyFont="1" applyFill="1" applyBorder="1" applyAlignment="1">
      <alignment horizontal="center" vertical="center" wrapText="1"/>
    </xf>
    <xf numFmtId="0" fontId="0" fillId="11" borderId="0" xfId="0" applyFill="1" applyBorder="1" applyAlignment="1">
      <alignment vertical="center" wrapText="1"/>
    </xf>
    <xf numFmtId="0" fontId="0" fillId="11" borderId="2" xfId="0" applyFill="1" applyBorder="1" applyAlignment="1">
      <alignment vertical="center" wrapText="1"/>
    </xf>
    <xf numFmtId="0" fontId="216" fillId="0" borderId="1" xfId="0" applyFont="1" applyFill="1" applyBorder="1" applyAlignment="1">
      <alignment vertical="top" wrapText="1"/>
    </xf>
    <xf numFmtId="0" fontId="1" fillId="0" borderId="1" xfId="0" applyFont="1" applyFill="1" applyBorder="1" applyAlignment="1">
      <alignment vertical="top" wrapText="1"/>
    </xf>
    <xf numFmtId="0" fontId="264" fillId="20" borderId="0" xfId="0" applyFont="1" applyFill="1" applyBorder="1" applyAlignment="1">
      <alignment horizontal="center" vertical="center"/>
    </xf>
    <xf numFmtId="0" fontId="264" fillId="0" borderId="0" xfId="0" applyFont="1" applyAlignment="1">
      <alignment horizontal="center" vertical="center"/>
    </xf>
    <xf numFmtId="0" fontId="264" fillId="0" borderId="2" xfId="0" applyFont="1" applyBorder="1" applyAlignment="1">
      <alignment horizontal="center" vertical="center"/>
    </xf>
    <xf numFmtId="0" fontId="301" fillId="0" borderId="5" xfId="0" applyFont="1" applyBorder="1" applyAlignment="1">
      <alignment horizontal="center" vertical="center"/>
    </xf>
    <xf numFmtId="0" fontId="272" fillId="20" borderId="1" xfId="0" applyFont="1" applyFill="1" applyBorder="1" applyAlignment="1">
      <alignment horizontal="center" vertical="center"/>
    </xf>
    <xf numFmtId="0" fontId="272" fillId="0" borderId="0" xfId="0" applyFont="1" applyAlignment="1">
      <alignment horizontal="center" vertical="center"/>
    </xf>
    <xf numFmtId="0" fontId="272" fillId="0" borderId="5" xfId="0" applyFont="1" applyBorder="1" applyAlignment="1">
      <alignment horizontal="center" vertical="center"/>
    </xf>
    <xf numFmtId="0" fontId="292" fillId="19" borderId="0" xfId="0" applyFont="1" applyFill="1" applyAlignment="1">
      <alignment horizontal="center" wrapText="1"/>
    </xf>
    <xf numFmtId="0" fontId="289" fillId="0" borderId="0" xfId="0" applyFont="1" applyAlignment="1">
      <alignment horizontal="center" wrapText="1"/>
    </xf>
    <xf numFmtId="0" fontId="277" fillId="11" borderId="1" xfId="0" applyFont="1" applyFill="1" applyBorder="1" applyAlignment="1">
      <alignment horizontal="center" vertical="center" wrapText="1"/>
    </xf>
    <xf numFmtId="0" fontId="265" fillId="11" borderId="0" xfId="0" applyFont="1" applyFill="1" applyBorder="1" applyAlignment="1">
      <alignment horizontal="center" vertical="center" wrapText="1"/>
    </xf>
    <xf numFmtId="0" fontId="220" fillId="0" borderId="0" xfId="0" applyFont="1" applyFill="1" applyBorder="1" applyAlignment="1">
      <alignment horizontal="left" vertical="top" wrapText="1"/>
    </xf>
    <xf numFmtId="0" fontId="216" fillId="0" borderId="2" xfId="0" applyFont="1" applyBorder="1" applyAlignment="1">
      <alignment vertical="top" wrapText="1"/>
    </xf>
    <xf numFmtId="164" fontId="34" fillId="0" borderId="0" xfId="0" applyNumberFormat="1" applyFont="1" applyBorder="1" applyAlignment="1">
      <alignment horizontal="right" vertical="top" wrapText="1"/>
    </xf>
    <xf numFmtId="0" fontId="150" fillId="10" borderId="0" xfId="0" applyFont="1" applyFill="1" applyAlignment="1">
      <alignment horizontal="center" vertical="center" wrapText="1"/>
    </xf>
    <xf numFmtId="0" fontId="150" fillId="10" borderId="5" xfId="0" applyFont="1" applyFill="1" applyBorder="1" applyAlignment="1">
      <alignment horizontal="center" vertical="center" wrapText="1"/>
    </xf>
    <xf numFmtId="0" fontId="177" fillId="0" borderId="0" xfId="0" applyFont="1" applyAlignment="1">
      <alignment horizontal="left" vertical="top" wrapText="1"/>
    </xf>
    <xf numFmtId="0" fontId="177" fillId="0" borderId="1" xfId="0" applyFont="1" applyBorder="1" applyAlignment="1">
      <alignment horizontal="left" vertical="top" wrapText="1"/>
    </xf>
    <xf numFmtId="0" fontId="345" fillId="0" borderId="0" xfId="0" applyFont="1" applyFill="1" applyBorder="1" applyAlignment="1">
      <alignment horizontal="left" vertical="top" wrapText="1"/>
    </xf>
    <xf numFmtId="0" fontId="39" fillId="0" borderId="0" xfId="0" applyFont="1" applyFill="1" applyAlignment="1">
      <alignment horizontal="left" vertical="top" wrapText="1"/>
    </xf>
    <xf numFmtId="0" fontId="39" fillId="0" borderId="0" xfId="2" applyFont="1" applyFill="1" applyAlignment="1">
      <alignment vertical="top" wrapText="1"/>
    </xf>
    <xf numFmtId="0" fontId="25" fillId="10" borderId="0" xfId="0" applyFont="1" applyFill="1" applyBorder="1" applyAlignment="1">
      <alignment horizontal="center" vertical="center" wrapText="1"/>
    </xf>
    <xf numFmtId="0" fontId="25" fillId="10" borderId="2" xfId="0" applyFont="1" applyFill="1" applyBorder="1" applyAlignment="1">
      <alignment horizontal="center" vertical="center" wrapText="1"/>
    </xf>
    <xf numFmtId="0" fontId="264" fillId="11" borderId="0" xfId="0" applyFont="1" applyFill="1" applyAlignment="1">
      <alignment horizontal="center" vertical="center" wrapText="1"/>
    </xf>
    <xf numFmtId="0" fontId="25" fillId="3" borderId="1"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7" fillId="3" borderId="0" xfId="0" applyFont="1" applyFill="1" applyAlignment="1">
      <alignment horizontal="center" vertical="center" wrapText="1"/>
    </xf>
    <xf numFmtId="0" fontId="27" fillId="3" borderId="0"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150" fillId="13" borderId="1" xfId="0" applyFont="1" applyFill="1" applyBorder="1" applyAlignment="1">
      <alignment horizontal="center" vertical="center"/>
    </xf>
    <xf numFmtId="0" fontId="150" fillId="13" borderId="0" xfId="0" applyFont="1" applyFill="1" applyBorder="1" applyAlignment="1">
      <alignment horizontal="center" vertical="center"/>
    </xf>
    <xf numFmtId="0" fontId="150" fillId="13" borderId="5" xfId="0" applyFont="1" applyFill="1" applyBorder="1" applyAlignment="1">
      <alignment horizontal="center" vertical="center"/>
    </xf>
    <xf numFmtId="164" fontId="34" fillId="0" borderId="0" xfId="0" applyNumberFormat="1" applyFont="1" applyBorder="1" applyAlignment="1">
      <alignment horizontal="center" vertical="top" wrapText="1"/>
    </xf>
    <xf numFmtId="0" fontId="228" fillId="0" borderId="1" xfId="0" applyFont="1" applyBorder="1" applyAlignment="1">
      <alignment horizontal="left" vertical="top" wrapText="1"/>
    </xf>
    <xf numFmtId="164" fontId="220" fillId="0" borderId="0" xfId="0" applyNumberFormat="1" applyFont="1" applyFill="1" applyBorder="1" applyAlignment="1">
      <alignment horizontal="right" vertical="top" wrapText="1"/>
    </xf>
    <xf numFmtId="0" fontId="228" fillId="0" borderId="0" xfId="0" applyFont="1" applyAlignment="1">
      <alignment horizontal="left" vertical="top" wrapText="1"/>
    </xf>
    <xf numFmtId="0" fontId="41" fillId="0" borderId="2" xfId="0" applyFont="1" applyFill="1" applyBorder="1" applyAlignment="1">
      <alignment horizontal="left" vertical="top" wrapText="1"/>
    </xf>
  </cellXfs>
  <cellStyles count="19">
    <cellStyle name="Bad" xfId="1" builtinId="27"/>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Hyperlink" xfId="2" builtinId="8"/>
    <cellStyle name="Normal" xfId="0" builtinId="0"/>
  </cellStyles>
  <dxfs count="0"/>
  <tableStyles count="0" defaultTableStyle="TableStyleMedium9" defaultPivotStyle="PivotStyleMedium4"/>
  <colors>
    <mruColors>
      <color rgb="FF00FF00"/>
      <color rgb="FFFFC2F2"/>
      <color rgb="FF0000FF"/>
      <color rgb="FF3366FF"/>
      <color rgb="FFCCFFCC"/>
      <color rgb="FF000000"/>
      <color rgb="FF33CCCC"/>
      <color rgb="FF00B0F0"/>
      <color rgb="FF008000"/>
      <color rgb="FF000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9.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0.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1.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'RT Intra-Regional Travel'!$Q$32:$Q$33</c:f>
              <c:strCache>
                <c:ptCount val="2"/>
                <c:pt idx="0">
                  <c:v>False Phase 1:  Cost of Driving Alone Round-Trip @ 23¢/mile, the Authority's metric for fully-loaded auto costs</c:v>
                </c:pt>
              </c:strCache>
            </c:strRef>
          </c:tx>
          <c:spPr>
            <a:pattFill prst="pct20">
              <a:fgClr>
                <a:schemeClr val="accent1">
                  <a:lumMod val="60000"/>
                  <a:lumOff val="40000"/>
                </a:schemeClr>
              </a:fgClr>
              <a:bgClr>
                <a:srgbClr val="000090"/>
              </a:bgClr>
            </a:pattFill>
          </c:spPr>
          <c:invertIfNegative val="0"/>
          <c:dLbls>
            <c:dLbl>
              <c:idx val="0"/>
              <c:layout>
                <c:manualLayout>
                  <c:x val="0"/>
                  <c:y val="1.3138674049153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A0-FB45-82E6-675B23F5E419}"/>
                </c:ext>
              </c:extLst>
            </c:dLbl>
            <c:dLbl>
              <c:idx val="1"/>
              <c:layout>
                <c:manualLayout>
                  <c:x val="0"/>
                  <c:y val="8.75911603276890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A0-FB45-82E6-675B23F5E419}"/>
                </c:ext>
              </c:extLst>
            </c:dLbl>
            <c:dLbl>
              <c:idx val="2"/>
              <c:layout>
                <c:manualLayout>
                  <c:x val="4.18564343647652E-17"/>
                  <c:y val="1.7518232065537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A0-FB45-82E6-675B23F5E419}"/>
                </c:ext>
              </c:extLst>
            </c:dLbl>
            <c:dLbl>
              <c:idx val="3"/>
              <c:layout>
                <c:manualLayout>
                  <c:x val="0"/>
                  <c:y val="1.75182320655372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A0-FB45-82E6-675B23F5E419}"/>
                </c:ext>
              </c:extLst>
            </c:dLbl>
            <c:dLbl>
              <c:idx val="4"/>
              <c:layout>
                <c:manualLayout>
                  <c:x val="-8.3712868729540298E-17"/>
                  <c:y val="2.18977900819220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A0-FB45-82E6-675B23F5E419}"/>
                </c:ext>
              </c:extLst>
            </c:dLbl>
            <c:dLbl>
              <c:idx val="5"/>
              <c:layout>
                <c:manualLayout>
                  <c:x val="2.2831046123926802E-3"/>
                  <c:y val="2.18977900819220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A0-FB45-82E6-675B23F5E419}"/>
                </c:ext>
              </c:extLst>
            </c:dLbl>
            <c:spPr>
              <a:noFill/>
              <a:ln w="25400">
                <a:noFill/>
              </a:ln>
            </c:spPr>
            <c:txPr>
              <a:bodyPr/>
              <a:lstStyle/>
              <a:p>
                <a:pPr>
                  <a:defRPr sz="600" b="1" i="0">
                    <a:solidFill>
                      <a:srgbClr val="00009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Travel'!$P$34:$P$39</c:f>
              <c:strCache>
                <c:ptCount val="6"/>
                <c:pt idx="0">
                  <c:v>Burbank (BUR)-LAUS/     6miles</c:v>
                </c:pt>
                <c:pt idx="1">
                  <c:v>OC Gateway-Anaheim/                     13miles</c:v>
                </c:pt>
                <c:pt idx="2">
                  <c:v>LAUS-OC Gateway/              14miles</c:v>
                </c:pt>
                <c:pt idx="3">
                  <c:v>SF-Millbrae/                  15miles</c:v>
                </c:pt>
                <c:pt idx="4">
                  <c:v>Burbank-OC Gateway/                20miles</c:v>
                </c:pt>
                <c:pt idx="5">
                  <c:v>LAUS Anaheim/                 27miles</c:v>
                </c:pt>
              </c:strCache>
            </c:strRef>
          </c:cat>
          <c:val>
            <c:numRef>
              <c:f>'RT Intra-Regional Travel'!$Q$34:$Q$39</c:f>
              <c:numCache>
                <c:formatCode>"$"#,##0</c:formatCode>
                <c:ptCount val="6"/>
                <c:pt idx="0">
                  <c:v>7.82</c:v>
                </c:pt>
                <c:pt idx="1">
                  <c:v>6.9</c:v>
                </c:pt>
                <c:pt idx="2">
                  <c:v>7.36</c:v>
                </c:pt>
                <c:pt idx="3">
                  <c:v>6.9</c:v>
                </c:pt>
                <c:pt idx="4">
                  <c:v>13.8</c:v>
                </c:pt>
                <c:pt idx="5">
                  <c:v>13.34</c:v>
                </c:pt>
              </c:numCache>
            </c:numRef>
          </c:val>
          <c:extLst>
            <c:ext xmlns:c16="http://schemas.microsoft.com/office/drawing/2014/chart" uri="{C3380CC4-5D6E-409C-BE32-E72D297353CC}">
              <c16:uniqueId val="{00000006-2EA0-FB45-82E6-675B23F5E419}"/>
            </c:ext>
          </c:extLst>
        </c:ser>
        <c:ser>
          <c:idx val="1"/>
          <c:order val="1"/>
          <c:tx>
            <c:strRef>
              <c:f>'RT Intra-Regional Travel'!$R$32:$R$33</c:f>
              <c:strCache>
                <c:ptCount val="2"/>
                <c:pt idx="0">
                  <c:v>False Phase 1:  Per person cost of intra-regional round-trip fares using HSR; bassed on Figure 2.2 fares</c:v>
                </c:pt>
              </c:strCache>
            </c:strRef>
          </c:tx>
          <c:spPr>
            <a:pattFill prst="dkUpDiag">
              <a:fgClr>
                <a:srgbClr val="FF0000"/>
              </a:fgClr>
              <a:bgClr>
                <a:schemeClr val="bg1"/>
              </a:bgClr>
            </a:pattFill>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Travel'!$P$34:$P$39</c:f>
              <c:strCache>
                <c:ptCount val="6"/>
                <c:pt idx="0">
                  <c:v>Burbank (BUR)-LAUS/     6miles</c:v>
                </c:pt>
                <c:pt idx="1">
                  <c:v>OC Gateway-Anaheim/                     13miles</c:v>
                </c:pt>
                <c:pt idx="2">
                  <c:v>LAUS-OC Gateway/              14miles</c:v>
                </c:pt>
                <c:pt idx="3">
                  <c:v>SF-Millbrae/                  15miles</c:v>
                </c:pt>
                <c:pt idx="4">
                  <c:v>Burbank-OC Gateway/                20miles</c:v>
                </c:pt>
                <c:pt idx="5">
                  <c:v>LAUS Anaheim/                 27miles</c:v>
                </c:pt>
              </c:strCache>
            </c:strRef>
          </c:cat>
          <c:val>
            <c:numRef>
              <c:f>'RT Intra-Regional Travel'!$R$34:$R$39</c:f>
              <c:numCache>
                <c:formatCode>"$"#,##0</c:formatCode>
                <c:ptCount val="6"/>
                <c:pt idx="0">
                  <c:v>79</c:v>
                </c:pt>
                <c:pt idx="1">
                  <c:v>79</c:v>
                </c:pt>
                <c:pt idx="2">
                  <c:v>79</c:v>
                </c:pt>
                <c:pt idx="3">
                  <c:v>61</c:v>
                </c:pt>
                <c:pt idx="4">
                  <c:v>87</c:v>
                </c:pt>
                <c:pt idx="5">
                  <c:v>87</c:v>
                </c:pt>
              </c:numCache>
            </c:numRef>
          </c:val>
          <c:extLst>
            <c:ext xmlns:c16="http://schemas.microsoft.com/office/drawing/2014/chart" uri="{C3380CC4-5D6E-409C-BE32-E72D297353CC}">
              <c16:uniqueId val="{00000007-2EA0-FB45-82E6-675B23F5E419}"/>
            </c:ext>
          </c:extLst>
        </c:ser>
        <c:ser>
          <c:idx val="2"/>
          <c:order val="2"/>
          <c:tx>
            <c:strRef>
              <c:f>'RT Intra-Regional Travel'!$S$32:$S$33</c:f>
              <c:strCache>
                <c:ptCount val="2"/>
                <c:pt idx="0">
                  <c:v>False Phase 1:Per person fares for intra-regional round-trip by Caltrain, Metrolink or Amtrak (2017 $$s)</c:v>
                </c:pt>
              </c:strCache>
            </c:strRef>
          </c:tx>
          <c:spPr>
            <a:pattFill prst="pct40">
              <a:fgClr>
                <a:schemeClr val="bg1"/>
              </a:fgClr>
              <a:bgClr>
                <a:srgbClr val="660066"/>
              </a:bgClr>
            </a:pattFill>
          </c:spPr>
          <c:invertIfNegative val="0"/>
          <c:dLbls>
            <c:dLbl>
              <c:idx val="0"/>
              <c:layout>
                <c:manualLayout>
                  <c:x val="-2.09282171823828E-17"/>
                  <c:y val="5.9395083032281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EA0-FB45-82E6-675B23F5E419}"/>
                </c:ext>
              </c:extLst>
            </c:dLbl>
            <c:dLbl>
              <c:idx val="1"/>
              <c:layout>
                <c:manualLayout>
                  <c:x val="0"/>
                  <c:y val="6.37746410486661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EA0-FB45-82E6-675B23F5E419}"/>
                </c:ext>
              </c:extLst>
            </c:dLbl>
            <c:dLbl>
              <c:idx val="2"/>
              <c:layout>
                <c:manualLayout>
                  <c:x val="0"/>
                  <c:y val="6.3614631999878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A0-FB45-82E6-675B23F5E419}"/>
                </c:ext>
              </c:extLst>
            </c:dLbl>
            <c:dLbl>
              <c:idx val="3"/>
              <c:layout>
                <c:manualLayout>
                  <c:x val="0"/>
                  <c:y val="5.72853085484833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EA0-FB45-82E6-675B23F5E419}"/>
                </c:ext>
              </c:extLst>
            </c:dLbl>
            <c:spPr>
              <a:noFill/>
              <a:ln w="25400">
                <a:noFill/>
              </a:ln>
            </c:spPr>
            <c:txPr>
              <a:bodyPr/>
              <a:lstStyle/>
              <a:p>
                <a:pPr>
                  <a:defRPr sz="600" b="1" i="0">
                    <a:solidFill>
                      <a:srgbClr val="660066"/>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Travel'!$P$34:$P$39</c:f>
              <c:strCache>
                <c:ptCount val="6"/>
                <c:pt idx="0">
                  <c:v>Burbank (BUR)-LAUS/     6miles</c:v>
                </c:pt>
                <c:pt idx="1">
                  <c:v>OC Gateway-Anaheim/                     13miles</c:v>
                </c:pt>
                <c:pt idx="2">
                  <c:v>LAUS-OC Gateway/              14miles</c:v>
                </c:pt>
                <c:pt idx="3">
                  <c:v>SF-Millbrae/                  15miles</c:v>
                </c:pt>
                <c:pt idx="4">
                  <c:v>Burbank-OC Gateway/                20miles</c:v>
                </c:pt>
                <c:pt idx="5">
                  <c:v>LAUS Anaheim/                 27miles</c:v>
                </c:pt>
              </c:strCache>
            </c:strRef>
          </c:cat>
          <c:val>
            <c:numRef>
              <c:f>'RT Intra-Regional Travel'!$S$34:$S$39</c:f>
              <c:numCache>
                <c:formatCode>"$"#,##0</c:formatCode>
                <c:ptCount val="6"/>
                <c:pt idx="0">
                  <c:v>35</c:v>
                </c:pt>
                <c:pt idx="1">
                  <c:v>35</c:v>
                </c:pt>
                <c:pt idx="2">
                  <c:v>36</c:v>
                </c:pt>
                <c:pt idx="3">
                  <c:v>34.5</c:v>
                </c:pt>
                <c:pt idx="4">
                  <c:v>40.5</c:v>
                </c:pt>
                <c:pt idx="5">
                  <c:v>40.5</c:v>
                </c:pt>
              </c:numCache>
            </c:numRef>
          </c:val>
          <c:extLst>
            <c:ext xmlns:c16="http://schemas.microsoft.com/office/drawing/2014/chart" uri="{C3380CC4-5D6E-409C-BE32-E72D297353CC}">
              <c16:uniqueId val="{0000000C-2EA0-FB45-82E6-675B23F5E419}"/>
            </c:ext>
          </c:extLst>
        </c:ser>
        <c:ser>
          <c:idx val="3"/>
          <c:order val="3"/>
          <c:tx>
            <c:strRef>
              <c:f>'RT Intra-Regional Travel'!$T$32:$T$33</c:f>
              <c:strCache>
                <c:ptCount val="2"/>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c:spPr>
          <c:invertIfNegative val="0"/>
          <c:dLbls>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Travel'!$P$34:$P$39</c:f>
              <c:strCache>
                <c:ptCount val="6"/>
                <c:pt idx="0">
                  <c:v>Burbank (BUR)-LAUS/     6miles</c:v>
                </c:pt>
                <c:pt idx="1">
                  <c:v>OC Gateway-Anaheim/                     13miles</c:v>
                </c:pt>
                <c:pt idx="2">
                  <c:v>LAUS-OC Gateway/              14miles</c:v>
                </c:pt>
                <c:pt idx="3">
                  <c:v>SF-Millbrae/                  15miles</c:v>
                </c:pt>
                <c:pt idx="4">
                  <c:v>Burbank-OC Gateway/                20miles</c:v>
                </c:pt>
                <c:pt idx="5">
                  <c:v>LAUS Anaheim/                 27miles</c:v>
                </c:pt>
              </c:strCache>
            </c:strRef>
          </c:cat>
          <c:val>
            <c:numRef>
              <c:f>'RT Intra-Regional Travel'!$T$34:$T$39</c:f>
              <c:numCache>
                <c:formatCode>0</c:formatCode>
                <c:ptCount val="6"/>
                <c:pt idx="0">
                  <c:v>134.6</c:v>
                </c:pt>
                <c:pt idx="1">
                  <c:v>97.9</c:v>
                </c:pt>
                <c:pt idx="2">
                  <c:v>128.69999999999999</c:v>
                </c:pt>
                <c:pt idx="3">
                  <c:v>141.80000000000001</c:v>
                </c:pt>
                <c:pt idx="4">
                  <c:v>128.19999999999999</c:v>
                </c:pt>
                <c:pt idx="5">
                  <c:v>109.9</c:v>
                </c:pt>
              </c:numCache>
            </c:numRef>
          </c:val>
          <c:extLst>
            <c:ext xmlns:c16="http://schemas.microsoft.com/office/drawing/2014/chart" uri="{C3380CC4-5D6E-409C-BE32-E72D297353CC}">
              <c16:uniqueId val="{0000000D-2EA0-FB45-82E6-675B23F5E419}"/>
            </c:ext>
          </c:extLst>
        </c:ser>
        <c:dLbls>
          <c:showLegendKey val="0"/>
          <c:showVal val="0"/>
          <c:showCatName val="0"/>
          <c:showSerName val="0"/>
          <c:showPercent val="0"/>
          <c:showBubbleSize val="0"/>
        </c:dLbls>
        <c:gapWidth val="60"/>
        <c:axId val="-2126914808"/>
        <c:axId val="-2127025064"/>
      </c:barChart>
      <c:catAx>
        <c:axId val="-2126914808"/>
        <c:scaling>
          <c:orientation val="minMax"/>
        </c:scaling>
        <c:delete val="0"/>
        <c:axPos val="b"/>
        <c:numFmt formatCode="General" sourceLinked="0"/>
        <c:majorTickMark val="out"/>
        <c:minorTickMark val="none"/>
        <c:tickLblPos val="low"/>
        <c:txPr>
          <a:bodyPr/>
          <a:lstStyle/>
          <a:p>
            <a:pPr>
              <a:defRPr sz="600" b="1" i="0"/>
            </a:pPr>
            <a:endParaRPr lang="en-US"/>
          </a:p>
        </c:txPr>
        <c:crossAx val="-2127025064"/>
        <c:crosses val="autoZero"/>
        <c:auto val="1"/>
        <c:lblAlgn val="ctr"/>
        <c:lblOffset val="100"/>
        <c:noMultiLvlLbl val="0"/>
      </c:catAx>
      <c:valAx>
        <c:axId val="-2127025064"/>
        <c:scaling>
          <c:orientation val="minMax"/>
          <c:max val="200"/>
          <c:min val="0"/>
        </c:scaling>
        <c:delete val="0"/>
        <c:axPos val="l"/>
        <c:majorGridlines>
          <c:spPr>
            <a:ln w="12700" cmpd="sng">
              <a:prstDash val="sysDot"/>
            </a:ln>
          </c:spPr>
        </c:majorGridlines>
        <c:numFmt formatCode="&quot;$&quot;#,##0" sourceLinked="1"/>
        <c:majorTickMark val="out"/>
        <c:minorTickMark val="none"/>
        <c:tickLblPos val="nextTo"/>
        <c:txPr>
          <a:bodyPr/>
          <a:lstStyle/>
          <a:p>
            <a:pPr>
              <a:defRPr sz="500">
                <a:solidFill>
                  <a:srgbClr val="FF0000"/>
                </a:solidFill>
              </a:defRPr>
            </a:pPr>
            <a:endParaRPr lang="en-US"/>
          </a:p>
        </c:txPr>
        <c:crossAx val="-2126914808"/>
        <c:crosses val="autoZero"/>
        <c:crossBetween val="between"/>
      </c:valAx>
      <c:spPr>
        <a:noFill/>
        <a:ln w="25400">
          <a:noFill/>
        </a:ln>
      </c:spPr>
    </c:plotArea>
    <c:legend>
      <c:legendPos val="t"/>
      <c:layout>
        <c:manualLayout>
          <c:xMode val="edge"/>
          <c:yMode val="edge"/>
          <c:x val="0"/>
          <c:y val="4.6836580726237267E-2"/>
          <c:w val="0.8625157299903714"/>
          <c:h val="0.22066514819902361"/>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2" r="0.750000000000002"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384744188443899E-2"/>
          <c:y val="4.0543650594412901E-2"/>
          <c:w val="0.96061525581155605"/>
          <c:h val="0.94820541381078705"/>
        </c:manualLayout>
      </c:layout>
      <c:barChart>
        <c:barDir val="col"/>
        <c:grouping val="clustered"/>
        <c:varyColors val="0"/>
        <c:ser>
          <c:idx val="0"/>
          <c:order val="0"/>
          <c:tx>
            <c:strRef>
              <c:f>'RT Travel Adjacent Regions'!$AR$28</c:f>
              <c:strCache>
                <c:ptCount val="1"/>
                <c:pt idx="0">
                  <c:v>False Phase 1: Cost of Driving Alone Round-Trip @ 23¢/mile, the Authority's metric for fully-loaded auto costs</c:v>
                </c:pt>
              </c:strCache>
            </c:strRef>
          </c:tx>
          <c:spPr>
            <a:pattFill prst="pct20">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Regions'!$AQ$29:$AQ$33</c:f>
              <c:strCache>
                <c:ptCount val="5"/>
                <c:pt idx="0">
                  <c:v>Palmdale-Madera/                                      234miles</c:v>
                </c:pt>
                <c:pt idx="1">
                  <c:v>Burbank (BUR)-Madera/                                         236miles</c:v>
                </c:pt>
                <c:pt idx="2">
                  <c:v>Los Angeles-Madera/                                               250miles</c:v>
                </c:pt>
                <c:pt idx="3">
                  <c:v>OC Gateway-Madera/                                                  263miles</c:v>
                </c:pt>
                <c:pt idx="4">
                  <c:v>Anaheim-Madera/                                                                277miles</c:v>
                </c:pt>
              </c:strCache>
            </c:strRef>
          </c:cat>
          <c:val>
            <c:numRef>
              <c:f>'RT Travel Adjacent Regions'!$AR$29:$AR$33</c:f>
              <c:numCache>
                <c:formatCode>"$"#,##0</c:formatCode>
                <c:ptCount val="5"/>
                <c:pt idx="0">
                  <c:v>103.96000000000001</c:v>
                </c:pt>
                <c:pt idx="1">
                  <c:v>109.94</c:v>
                </c:pt>
                <c:pt idx="2">
                  <c:v>110.4</c:v>
                </c:pt>
                <c:pt idx="3">
                  <c:v>118.68</c:v>
                </c:pt>
                <c:pt idx="4">
                  <c:v>123.74000000000001</c:v>
                </c:pt>
              </c:numCache>
            </c:numRef>
          </c:val>
          <c:extLst>
            <c:ext xmlns:c16="http://schemas.microsoft.com/office/drawing/2014/chart" uri="{C3380CC4-5D6E-409C-BE32-E72D297353CC}">
              <c16:uniqueId val="{00000000-A815-294D-8877-C59A807B4577}"/>
            </c:ext>
          </c:extLst>
        </c:ser>
        <c:ser>
          <c:idx val="1"/>
          <c:order val="1"/>
          <c:tx>
            <c:strRef>
              <c:f>'RT Travel Adjacent Regions'!$AS$28</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Regions'!$AQ$29:$AQ$33</c:f>
              <c:strCache>
                <c:ptCount val="5"/>
                <c:pt idx="0">
                  <c:v>Palmdale-Madera/                                      234miles</c:v>
                </c:pt>
                <c:pt idx="1">
                  <c:v>Burbank (BUR)-Madera/                                         236miles</c:v>
                </c:pt>
                <c:pt idx="2">
                  <c:v>Los Angeles-Madera/                                               250miles</c:v>
                </c:pt>
                <c:pt idx="3">
                  <c:v>OC Gateway-Madera/                                                  263miles</c:v>
                </c:pt>
                <c:pt idx="4">
                  <c:v>Anaheim-Madera/                                                                277miles</c:v>
                </c:pt>
              </c:strCache>
            </c:strRef>
          </c:cat>
          <c:val>
            <c:numRef>
              <c:f>'RT Travel Adjacent Regions'!$AS$29:$AS$33</c:f>
              <c:numCache>
                <c:formatCode>"$"#,##0</c:formatCode>
                <c:ptCount val="5"/>
                <c:pt idx="0">
                  <c:v>187</c:v>
                </c:pt>
                <c:pt idx="1">
                  <c:v>189</c:v>
                </c:pt>
                <c:pt idx="2">
                  <c:v>197</c:v>
                </c:pt>
                <c:pt idx="3">
                  <c:v>207</c:v>
                </c:pt>
                <c:pt idx="4">
                  <c:v>207</c:v>
                </c:pt>
              </c:numCache>
            </c:numRef>
          </c:val>
          <c:extLst>
            <c:ext xmlns:c16="http://schemas.microsoft.com/office/drawing/2014/chart" uri="{C3380CC4-5D6E-409C-BE32-E72D297353CC}">
              <c16:uniqueId val="{00000001-A815-294D-8877-C59A807B4577}"/>
            </c:ext>
          </c:extLst>
        </c:ser>
        <c:ser>
          <c:idx val="2"/>
          <c:order val="2"/>
          <c:tx>
            <c:strRef>
              <c:f>'RT Travel Adjacent Regions'!$AT$28</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Regions'!$AQ$29:$AQ$33</c:f>
              <c:strCache>
                <c:ptCount val="5"/>
                <c:pt idx="0">
                  <c:v>Palmdale-Madera/                                      234miles</c:v>
                </c:pt>
                <c:pt idx="1">
                  <c:v>Burbank (BUR)-Madera/                                         236miles</c:v>
                </c:pt>
                <c:pt idx="2">
                  <c:v>Los Angeles-Madera/                                               250miles</c:v>
                </c:pt>
                <c:pt idx="3">
                  <c:v>OC Gateway-Madera/                                                  263miles</c:v>
                </c:pt>
                <c:pt idx="4">
                  <c:v>Anaheim-Madera/                                                                277miles</c:v>
                </c:pt>
              </c:strCache>
            </c:strRef>
          </c:cat>
          <c:val>
            <c:numRef>
              <c:f>'RT Travel Adjacent Regions'!$AT$29:$AT$33</c:f>
              <c:numCache>
                <c:formatCode>"$"#,##0</c:formatCode>
                <c:ptCount val="5"/>
                <c:pt idx="0">
                  <c:v>442</c:v>
                </c:pt>
                <c:pt idx="1">
                  <c:v>426</c:v>
                </c:pt>
                <c:pt idx="2">
                  <c:v>411</c:v>
                </c:pt>
                <c:pt idx="3">
                  <c:v>426</c:v>
                </c:pt>
                <c:pt idx="4">
                  <c:v>426</c:v>
                </c:pt>
              </c:numCache>
            </c:numRef>
          </c:val>
          <c:extLst>
            <c:ext xmlns:c16="http://schemas.microsoft.com/office/drawing/2014/chart" uri="{C3380CC4-5D6E-409C-BE32-E72D297353CC}">
              <c16:uniqueId val="{00000002-A815-294D-8877-C59A807B4577}"/>
            </c:ext>
          </c:extLst>
        </c:ser>
        <c:ser>
          <c:idx val="3"/>
          <c:order val="3"/>
          <c:tx>
            <c:strRef>
              <c:f>'RT Travel Adjacent Regions'!$AU$28</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Regions'!$AQ$29:$AQ$33</c:f>
              <c:strCache>
                <c:ptCount val="5"/>
                <c:pt idx="0">
                  <c:v>Palmdale-Madera/                                      234miles</c:v>
                </c:pt>
                <c:pt idx="1">
                  <c:v>Burbank (BUR)-Madera/                                         236miles</c:v>
                </c:pt>
                <c:pt idx="2">
                  <c:v>Los Angeles-Madera/                                               250miles</c:v>
                </c:pt>
                <c:pt idx="3">
                  <c:v>OC Gateway-Madera/                                                  263miles</c:v>
                </c:pt>
                <c:pt idx="4">
                  <c:v>Anaheim-Madera/                                                                277miles</c:v>
                </c:pt>
              </c:strCache>
            </c:strRef>
          </c:cat>
          <c:val>
            <c:numRef>
              <c:f>'RT Travel Adjacent Regions'!$AU$29:$AU$33</c:f>
              <c:numCache>
                <c:formatCode>#,##0</c:formatCode>
                <c:ptCount val="5"/>
                <c:pt idx="0">
                  <c:v>-71.099999999999966</c:v>
                </c:pt>
                <c:pt idx="1">
                  <c:v>-35.499999999999943</c:v>
                </c:pt>
                <c:pt idx="2">
                  <c:v>-29.699999999999989</c:v>
                </c:pt>
                <c:pt idx="3">
                  <c:v>18.900000000000091</c:v>
                </c:pt>
                <c:pt idx="4">
                  <c:v>12.700000000000045</c:v>
                </c:pt>
              </c:numCache>
            </c:numRef>
          </c:val>
          <c:extLst>
            <c:ext xmlns:c16="http://schemas.microsoft.com/office/drawing/2014/chart" uri="{C3380CC4-5D6E-409C-BE32-E72D297353CC}">
              <c16:uniqueId val="{00000003-A815-294D-8877-C59A807B4577}"/>
            </c:ext>
          </c:extLst>
        </c:ser>
        <c:ser>
          <c:idx val="4"/>
          <c:order val="4"/>
          <c:tx>
            <c:strRef>
              <c:f>'RT Travel Adjacent Regions'!$AV$28</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Regions'!$AQ$29:$AQ$33</c:f>
              <c:strCache>
                <c:ptCount val="5"/>
                <c:pt idx="0">
                  <c:v>Palmdale-Madera/                                      234miles</c:v>
                </c:pt>
                <c:pt idx="1">
                  <c:v>Burbank (BUR)-Madera/                                         236miles</c:v>
                </c:pt>
                <c:pt idx="2">
                  <c:v>Los Angeles-Madera/                                               250miles</c:v>
                </c:pt>
                <c:pt idx="3">
                  <c:v>OC Gateway-Madera/                                                  263miles</c:v>
                </c:pt>
                <c:pt idx="4">
                  <c:v>Anaheim-Madera/                                                                277miles</c:v>
                </c:pt>
              </c:strCache>
            </c:strRef>
          </c:cat>
          <c:val>
            <c:numRef>
              <c:f>'RT Travel Adjacent Regions'!$AV$29:$AV$33</c:f>
              <c:numCache>
                <c:formatCode>#,##0</c:formatCode>
                <c:ptCount val="5"/>
                <c:pt idx="0">
                  <c:v>2</c:v>
                </c:pt>
                <c:pt idx="1">
                  <c:v>56</c:v>
                </c:pt>
                <c:pt idx="2">
                  <c:v>94</c:v>
                </c:pt>
                <c:pt idx="3">
                  <c:v>184</c:v>
                </c:pt>
                <c:pt idx="4">
                  <c:v>210</c:v>
                </c:pt>
              </c:numCache>
            </c:numRef>
          </c:val>
          <c:extLst>
            <c:ext xmlns:c16="http://schemas.microsoft.com/office/drawing/2014/chart" uri="{C3380CC4-5D6E-409C-BE32-E72D297353CC}">
              <c16:uniqueId val="{00000004-A815-294D-8877-C59A807B4577}"/>
            </c:ext>
          </c:extLst>
        </c:ser>
        <c:dLbls>
          <c:showLegendKey val="0"/>
          <c:showVal val="0"/>
          <c:showCatName val="0"/>
          <c:showSerName val="0"/>
          <c:showPercent val="0"/>
          <c:showBubbleSize val="0"/>
        </c:dLbls>
        <c:gapWidth val="50"/>
        <c:axId val="-2127387192"/>
        <c:axId val="-2127390824"/>
      </c:barChart>
      <c:catAx>
        <c:axId val="-21273871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27390824"/>
        <c:crosses val="autoZero"/>
        <c:auto val="1"/>
        <c:lblAlgn val="ctr"/>
        <c:lblOffset val="100"/>
        <c:noMultiLvlLbl val="0"/>
      </c:catAx>
      <c:valAx>
        <c:axId val="-2127390824"/>
        <c:scaling>
          <c:orientation val="minMax"/>
          <c:max val="750"/>
          <c:min val="-95"/>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27387192"/>
        <c:crosses val="autoZero"/>
        <c:crossBetween val="between"/>
      </c:valAx>
      <c:spPr>
        <a:noFill/>
        <a:ln>
          <a:noFill/>
        </a:ln>
        <a:effectLst/>
      </c:spPr>
    </c:plotArea>
    <c:legend>
      <c:legendPos val="b"/>
      <c:layout>
        <c:manualLayout>
          <c:xMode val="edge"/>
          <c:yMode val="edge"/>
          <c:x val="0"/>
          <c:y val="1.1173745858921839E-3"/>
          <c:w val="0.90360224394033206"/>
          <c:h val="0.3073412783684160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789358957249003E-2"/>
          <c:y val="4.1431261770244802E-2"/>
          <c:w val="0.963210641042751"/>
          <c:h val="0.94064534306093095"/>
        </c:manualLayout>
      </c:layout>
      <c:barChart>
        <c:barDir val="col"/>
        <c:grouping val="clustered"/>
        <c:varyColors val="0"/>
        <c:ser>
          <c:idx val="0"/>
          <c:order val="0"/>
          <c:tx>
            <c:strRef>
              <c:f>'RT Travel Adjacent Regions'!$AR$70</c:f>
              <c:strCache>
                <c:ptCount val="1"/>
                <c:pt idx="0">
                  <c:v>False Phase 1: Cost of Driving Alone Round-Trip @ 23¢/mile, the Authority's metric for fully-loaded auto costs</c:v>
                </c:pt>
              </c:strCache>
            </c:strRef>
          </c:tx>
          <c:spPr>
            <a:pattFill prst="pct20">
              <a:fgClr>
                <a:schemeClr val="accent1">
                  <a:lumMod val="60000"/>
                  <a:lumOff val="40000"/>
                </a:schemeClr>
              </a:fgClr>
              <a:bgClr>
                <a:srgbClr val="000090"/>
              </a:bgClr>
            </a:pattFill>
            <a:ln>
              <a:noFill/>
            </a:ln>
            <a:effectLst/>
          </c:spPr>
          <c:invertIfNegative val="0"/>
          <c:dLbls>
            <c:dLbl>
              <c:idx val="0"/>
              <c:layout>
                <c:manualLayout>
                  <c:x val="-1.0357695789575588E-17"/>
                  <c:y val="1.4031532209965721E-2"/>
                </c:manualLayout>
              </c:layout>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accent1">
                          <a:lumMod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4-7A4A-9442-18F67673A3F3}"/>
                </c:ext>
              </c:extLst>
            </c:dLbl>
            <c:dLbl>
              <c:idx val="1"/>
              <c:layout>
                <c:manualLayout>
                  <c:x val="0"/>
                  <c:y val="8.1427082517516215E-3"/>
                </c:manualLayout>
              </c:layout>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accent1">
                          <a:lumMod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4-7A4A-9442-18F67673A3F3}"/>
                </c:ext>
              </c:extLst>
            </c:dLbl>
            <c:dLbl>
              <c:idx val="2"/>
              <c:layout>
                <c:manualLayout>
                  <c:x val="0"/>
                  <c:y val="1.2669032285271916E-2"/>
                </c:manualLayout>
              </c:layout>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accent1">
                          <a:lumMod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4-7A4A-9442-18F67673A3F3}"/>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Regions'!$AQ$71:$AQ$75</c:f>
              <c:strCache>
                <c:ptCount val="5"/>
                <c:pt idx="0">
                  <c:v>Gilroy-Madera/                                  95miles</c:v>
                </c:pt>
                <c:pt idx="1">
                  <c:v>Gilroy-Fresno/                                              121miles</c:v>
                </c:pt>
                <c:pt idx="2">
                  <c:v>San Jose-Madera/                                                     127miles</c:v>
                </c:pt>
                <c:pt idx="3">
                  <c:v>Millbrae-Madera/                                              164miles</c:v>
                </c:pt>
                <c:pt idx="4">
                  <c:v>San Francisco-Madera/                                                 168miles</c:v>
                </c:pt>
              </c:strCache>
            </c:strRef>
          </c:cat>
          <c:val>
            <c:numRef>
              <c:f>'RT Travel Adjacent Regions'!$AR$71:$AR$75</c:f>
              <c:numCache>
                <c:formatCode>"$"#,##0</c:formatCode>
                <c:ptCount val="5"/>
                <c:pt idx="0">
                  <c:v>43.7</c:v>
                </c:pt>
                <c:pt idx="1">
                  <c:v>55.660000000000004</c:v>
                </c:pt>
                <c:pt idx="2">
                  <c:v>58.42</c:v>
                </c:pt>
                <c:pt idx="3">
                  <c:v>74.06</c:v>
                </c:pt>
                <c:pt idx="4">
                  <c:v>80.5</c:v>
                </c:pt>
              </c:numCache>
            </c:numRef>
          </c:val>
          <c:extLst>
            <c:ext xmlns:c16="http://schemas.microsoft.com/office/drawing/2014/chart" uri="{C3380CC4-5D6E-409C-BE32-E72D297353CC}">
              <c16:uniqueId val="{00000000-9B74-824C-AC8A-F942A5E216C3}"/>
            </c:ext>
          </c:extLst>
        </c:ser>
        <c:ser>
          <c:idx val="1"/>
          <c:order val="1"/>
          <c:tx>
            <c:strRef>
              <c:f>'RT Travel Adjacent Regions'!$AS$70</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Regions'!$AQ$71:$AQ$75</c:f>
              <c:strCache>
                <c:ptCount val="5"/>
                <c:pt idx="0">
                  <c:v>Gilroy-Madera/                                  95miles</c:v>
                </c:pt>
                <c:pt idx="1">
                  <c:v>Gilroy-Fresno/                                              121miles</c:v>
                </c:pt>
                <c:pt idx="2">
                  <c:v>San Jose-Madera/                                                     127miles</c:v>
                </c:pt>
                <c:pt idx="3">
                  <c:v>Millbrae-Madera/                                              164miles</c:v>
                </c:pt>
                <c:pt idx="4">
                  <c:v>San Francisco-Madera/                                                 168miles</c:v>
                </c:pt>
              </c:strCache>
            </c:strRef>
          </c:cat>
          <c:val>
            <c:numRef>
              <c:f>'RT Travel Adjacent Regions'!$AS$71:$AS$75</c:f>
              <c:numCache>
                <c:formatCode>"$"#,##0</c:formatCode>
                <c:ptCount val="5"/>
                <c:pt idx="0">
                  <c:v>258</c:v>
                </c:pt>
                <c:pt idx="1">
                  <c:v>266</c:v>
                </c:pt>
                <c:pt idx="2">
                  <c:v>266</c:v>
                </c:pt>
                <c:pt idx="3">
                  <c:v>280</c:v>
                </c:pt>
                <c:pt idx="4">
                  <c:v>282</c:v>
                </c:pt>
              </c:numCache>
            </c:numRef>
          </c:val>
          <c:extLst>
            <c:ext xmlns:c16="http://schemas.microsoft.com/office/drawing/2014/chart" uri="{C3380CC4-5D6E-409C-BE32-E72D297353CC}">
              <c16:uniqueId val="{00000001-9B74-824C-AC8A-F942A5E216C3}"/>
            </c:ext>
          </c:extLst>
        </c:ser>
        <c:ser>
          <c:idx val="2"/>
          <c:order val="2"/>
          <c:tx>
            <c:strRef>
              <c:f>'RT Travel Adjacent Regions'!$AT$70</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Regions'!$AQ$71:$AQ$75</c:f>
              <c:strCache>
                <c:ptCount val="5"/>
                <c:pt idx="0">
                  <c:v>Gilroy-Madera/                                  95miles</c:v>
                </c:pt>
                <c:pt idx="1">
                  <c:v>Gilroy-Fresno/                                              121miles</c:v>
                </c:pt>
                <c:pt idx="2">
                  <c:v>San Jose-Madera/                                                     127miles</c:v>
                </c:pt>
                <c:pt idx="3">
                  <c:v>Millbrae-Madera/                                              164miles</c:v>
                </c:pt>
                <c:pt idx="4">
                  <c:v>San Francisco-Madera/                                                 168miles</c:v>
                </c:pt>
              </c:strCache>
            </c:strRef>
          </c:cat>
          <c:val>
            <c:numRef>
              <c:f>'RT Travel Adjacent Regions'!$AT$71:$AT$75</c:f>
              <c:numCache>
                <c:formatCode>"$"#,##0</c:formatCode>
                <c:ptCount val="5"/>
                <c:pt idx="0">
                  <c:v>672</c:v>
                </c:pt>
                <c:pt idx="1">
                  <c:v>657</c:v>
                </c:pt>
                <c:pt idx="2">
                  <c:v>657</c:v>
                </c:pt>
                <c:pt idx="3">
                  <c:v>576</c:v>
                </c:pt>
                <c:pt idx="4">
                  <c:v>561</c:v>
                </c:pt>
              </c:numCache>
            </c:numRef>
          </c:val>
          <c:extLst>
            <c:ext xmlns:c16="http://schemas.microsoft.com/office/drawing/2014/chart" uri="{C3380CC4-5D6E-409C-BE32-E72D297353CC}">
              <c16:uniqueId val="{00000002-9B74-824C-AC8A-F942A5E216C3}"/>
            </c:ext>
          </c:extLst>
        </c:ser>
        <c:ser>
          <c:idx val="3"/>
          <c:order val="3"/>
          <c:tx>
            <c:strRef>
              <c:f>'RT Travel Adjacent Regions'!$AU$70</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Regions'!$AQ$71:$AQ$75</c:f>
              <c:strCache>
                <c:ptCount val="5"/>
                <c:pt idx="0">
                  <c:v>Gilroy-Madera/                                  95miles</c:v>
                </c:pt>
                <c:pt idx="1">
                  <c:v>Gilroy-Fresno/                                              121miles</c:v>
                </c:pt>
                <c:pt idx="2">
                  <c:v>San Jose-Madera/                                                     127miles</c:v>
                </c:pt>
                <c:pt idx="3">
                  <c:v>Millbrae-Madera/                                              164miles</c:v>
                </c:pt>
                <c:pt idx="4">
                  <c:v>San Francisco-Madera/                                                 168miles</c:v>
                </c:pt>
              </c:strCache>
            </c:strRef>
          </c:cat>
          <c:val>
            <c:numRef>
              <c:f>'RT Travel Adjacent Regions'!$AU$71:$AU$75</c:f>
              <c:numCache>
                <c:formatCode>#,##0</c:formatCode>
                <c:ptCount val="5"/>
                <c:pt idx="0">
                  <c:v>35.400000000000006</c:v>
                </c:pt>
                <c:pt idx="1">
                  <c:v>76.800000000000011</c:v>
                </c:pt>
                <c:pt idx="2">
                  <c:v>81.900000000000034</c:v>
                </c:pt>
                <c:pt idx="3">
                  <c:v>100.90000000000003</c:v>
                </c:pt>
                <c:pt idx="4">
                  <c:v>137.80000000000001</c:v>
                </c:pt>
              </c:numCache>
            </c:numRef>
          </c:val>
          <c:extLst>
            <c:ext xmlns:c16="http://schemas.microsoft.com/office/drawing/2014/chart" uri="{C3380CC4-5D6E-409C-BE32-E72D297353CC}">
              <c16:uniqueId val="{00000003-9B74-824C-AC8A-F942A5E216C3}"/>
            </c:ext>
          </c:extLst>
        </c:ser>
        <c:ser>
          <c:idx val="4"/>
          <c:order val="4"/>
          <c:tx>
            <c:strRef>
              <c:f>'RT Travel Adjacent Regions'!$AV$70</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Regions'!$AQ$71:$AQ$75</c:f>
              <c:strCache>
                <c:ptCount val="5"/>
                <c:pt idx="0">
                  <c:v>Gilroy-Madera/                                  95miles</c:v>
                </c:pt>
                <c:pt idx="1">
                  <c:v>Gilroy-Fresno/                                              121miles</c:v>
                </c:pt>
                <c:pt idx="2">
                  <c:v>San Jose-Madera/                                                     127miles</c:v>
                </c:pt>
                <c:pt idx="3">
                  <c:v>Millbrae-Madera/                                              164miles</c:v>
                </c:pt>
                <c:pt idx="4">
                  <c:v>San Francisco-Madera/                                                 168miles</c:v>
                </c:pt>
              </c:strCache>
            </c:strRef>
          </c:cat>
          <c:val>
            <c:numRef>
              <c:f>'RT Travel Adjacent Regions'!$AV$71:$AV$75</c:f>
              <c:numCache>
                <c:formatCode>#,##0</c:formatCode>
                <c:ptCount val="5"/>
                <c:pt idx="0">
                  <c:v>-470</c:v>
                </c:pt>
                <c:pt idx="1">
                  <c:v>-378</c:v>
                </c:pt>
                <c:pt idx="2">
                  <c:v>-366</c:v>
                </c:pt>
                <c:pt idx="3">
                  <c:v>110</c:v>
                </c:pt>
                <c:pt idx="4">
                  <c:v>186</c:v>
                </c:pt>
              </c:numCache>
            </c:numRef>
          </c:val>
          <c:extLst>
            <c:ext xmlns:c16="http://schemas.microsoft.com/office/drawing/2014/chart" uri="{C3380CC4-5D6E-409C-BE32-E72D297353CC}">
              <c16:uniqueId val="{00000004-9B74-824C-AC8A-F942A5E216C3}"/>
            </c:ext>
          </c:extLst>
        </c:ser>
        <c:dLbls>
          <c:showLegendKey val="0"/>
          <c:showVal val="0"/>
          <c:showCatName val="0"/>
          <c:showSerName val="0"/>
          <c:showPercent val="0"/>
          <c:showBubbleSize val="0"/>
        </c:dLbls>
        <c:gapWidth val="50"/>
        <c:axId val="-2127465912"/>
        <c:axId val="-2127469544"/>
      </c:barChart>
      <c:catAx>
        <c:axId val="-21274659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27469544"/>
        <c:crosses val="autoZero"/>
        <c:auto val="1"/>
        <c:lblAlgn val="ctr"/>
        <c:lblOffset val="100"/>
        <c:noMultiLvlLbl val="0"/>
      </c:catAx>
      <c:valAx>
        <c:axId val="-2127469544"/>
        <c:scaling>
          <c:orientation val="minMax"/>
          <c:max val="1250"/>
          <c:min val="-50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27465912"/>
        <c:crosses val="autoZero"/>
        <c:crossBetween val="between"/>
      </c:valAx>
      <c:spPr>
        <a:noFill/>
        <a:ln>
          <a:noFill/>
        </a:ln>
        <a:effectLst/>
      </c:spPr>
    </c:plotArea>
    <c:legend>
      <c:legendPos val="b"/>
      <c:layout>
        <c:manualLayout>
          <c:xMode val="edge"/>
          <c:yMode val="edge"/>
          <c:x val="0"/>
          <c:y val="2.7920895249885329E-3"/>
          <c:w val="0.83484192081623598"/>
          <c:h val="0.3104620985424110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470253718285201E-2"/>
          <c:y val="5.0925925925925902E-2"/>
          <c:w val="0.95052974628171505"/>
          <c:h val="0.85666666666666702"/>
        </c:manualLayout>
      </c:layout>
      <c:barChart>
        <c:barDir val="col"/>
        <c:grouping val="clustered"/>
        <c:varyColors val="0"/>
        <c:ser>
          <c:idx val="0"/>
          <c:order val="0"/>
          <c:tx>
            <c:strRef>
              <c:f>'RT Travel Adjacent Regions'!$AR$89</c:f>
              <c:strCache>
                <c:ptCount val="1"/>
                <c:pt idx="0">
                  <c:v>False Phase 1: Cost of Driving Alone Round-Trip @ 23¢/mile, the Authority's metric for fully-loaded auto costs</c:v>
                </c:pt>
              </c:strCache>
            </c:strRef>
          </c:tx>
          <c:spPr>
            <a:pattFill prst="pct20">
              <a:fgClr>
                <a:schemeClr val="accent1">
                  <a:lumMod val="60000"/>
                  <a:lumOff val="40000"/>
                </a:schemeClr>
              </a:fgClr>
              <a:bgClr>
                <a:srgbClr val="000090"/>
              </a:bgClr>
            </a:pattFill>
            <a:ln>
              <a:noFill/>
            </a:ln>
            <a:effectLst/>
          </c:spPr>
          <c:invertIfNegative val="0"/>
          <c:dLbls>
            <c:dLbl>
              <c:idx val="0"/>
              <c:layout>
                <c:manualLayout>
                  <c:x val="0"/>
                  <c:y val="4.57145404903735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38-404D-B51B-C326D69315DD}"/>
                </c:ext>
              </c:extLst>
            </c:dLbl>
            <c:dLbl>
              <c:idx val="1"/>
              <c:layout>
                <c:manualLayout>
                  <c:x val="0"/>
                  <c:y val="4.47873315272167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38-404D-B51B-C326D69315DD}"/>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Regions'!$AQ$90:$AQ$94</c:f>
              <c:strCache>
                <c:ptCount val="5"/>
                <c:pt idx="0">
                  <c:v>San Jose-Fresno/                                   151miles</c:v>
                </c:pt>
                <c:pt idx="1">
                  <c:v>Giroy-KT/Hanford/                                              165miles</c:v>
                </c:pt>
                <c:pt idx="2">
                  <c:v>Millbrae-Fresno/                                            192miles</c:v>
                </c:pt>
                <c:pt idx="3">
                  <c:v>San Jose-KT Hanford/                                             195miles</c:v>
                </c:pt>
                <c:pt idx="4">
                  <c:v>San Francisco-Fresno/                                                                  199miles</c:v>
                </c:pt>
              </c:strCache>
            </c:strRef>
          </c:cat>
          <c:val>
            <c:numRef>
              <c:f>'RT Travel Adjacent Regions'!$AR$90:$AR$94</c:f>
              <c:numCache>
                <c:formatCode>"$"#,##0</c:formatCode>
                <c:ptCount val="5"/>
                <c:pt idx="0">
                  <c:v>68.540000000000006</c:v>
                </c:pt>
                <c:pt idx="1">
                  <c:v>66.7</c:v>
                </c:pt>
                <c:pt idx="2">
                  <c:v>86.94</c:v>
                </c:pt>
                <c:pt idx="3">
                  <c:v>80.960000000000008</c:v>
                </c:pt>
                <c:pt idx="4">
                  <c:v>86.02000000000001</c:v>
                </c:pt>
              </c:numCache>
            </c:numRef>
          </c:val>
          <c:extLst>
            <c:ext xmlns:c16="http://schemas.microsoft.com/office/drawing/2014/chart" uri="{C3380CC4-5D6E-409C-BE32-E72D297353CC}">
              <c16:uniqueId val="{00000000-5495-3E42-84D1-12D7181BFCBC}"/>
            </c:ext>
          </c:extLst>
        </c:ser>
        <c:ser>
          <c:idx val="1"/>
          <c:order val="1"/>
          <c:tx>
            <c:strRef>
              <c:f>'RT Travel Adjacent Regions'!$AS$89</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Regions'!$AQ$90:$AQ$94</c:f>
              <c:strCache>
                <c:ptCount val="5"/>
                <c:pt idx="0">
                  <c:v>San Jose-Fresno/                                   151miles</c:v>
                </c:pt>
                <c:pt idx="1">
                  <c:v>Giroy-KT/Hanford/                                              165miles</c:v>
                </c:pt>
                <c:pt idx="2">
                  <c:v>Millbrae-Fresno/                                            192miles</c:v>
                </c:pt>
                <c:pt idx="3">
                  <c:v>San Jose-KT Hanford/                                             195miles</c:v>
                </c:pt>
                <c:pt idx="4">
                  <c:v>San Francisco-Fresno/                                                                  199miles</c:v>
                </c:pt>
              </c:strCache>
            </c:strRef>
          </c:cat>
          <c:val>
            <c:numRef>
              <c:f>'RT Travel Adjacent Regions'!$AS$90:$AS$94</c:f>
              <c:numCache>
                <c:formatCode>"$"#,##0</c:formatCode>
                <c:ptCount val="5"/>
                <c:pt idx="0">
                  <c:v>155</c:v>
                </c:pt>
                <c:pt idx="1">
                  <c:v>159</c:v>
                </c:pt>
                <c:pt idx="2">
                  <c:v>171</c:v>
                </c:pt>
                <c:pt idx="3">
                  <c:v>165</c:v>
                </c:pt>
                <c:pt idx="4">
                  <c:v>171</c:v>
                </c:pt>
              </c:numCache>
            </c:numRef>
          </c:val>
          <c:extLst>
            <c:ext xmlns:c16="http://schemas.microsoft.com/office/drawing/2014/chart" uri="{C3380CC4-5D6E-409C-BE32-E72D297353CC}">
              <c16:uniqueId val="{00000001-5495-3E42-84D1-12D7181BFCBC}"/>
            </c:ext>
          </c:extLst>
        </c:ser>
        <c:ser>
          <c:idx val="2"/>
          <c:order val="2"/>
          <c:tx>
            <c:strRef>
              <c:f>'RT Travel Adjacent Regions'!$AT$89</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Regions'!$AQ$90:$AQ$94</c:f>
              <c:strCache>
                <c:ptCount val="5"/>
                <c:pt idx="0">
                  <c:v>San Jose-Fresno/                                   151miles</c:v>
                </c:pt>
                <c:pt idx="1">
                  <c:v>Giroy-KT/Hanford/                                              165miles</c:v>
                </c:pt>
                <c:pt idx="2">
                  <c:v>Millbrae-Fresno/                                            192miles</c:v>
                </c:pt>
                <c:pt idx="3">
                  <c:v>San Jose-KT Hanford/                                             195miles</c:v>
                </c:pt>
                <c:pt idx="4">
                  <c:v>San Francisco-Fresno/                                                                  199miles</c:v>
                </c:pt>
              </c:strCache>
            </c:strRef>
          </c:cat>
          <c:val>
            <c:numRef>
              <c:f>'RT Travel Adjacent Regions'!$AT$90:$AT$94</c:f>
              <c:numCache>
                <c:formatCode>"$"#,##0</c:formatCode>
                <c:ptCount val="5"/>
                <c:pt idx="0">
                  <c:v>489</c:v>
                </c:pt>
                <c:pt idx="1">
                  <c:v>519</c:v>
                </c:pt>
                <c:pt idx="2">
                  <c:v>561</c:v>
                </c:pt>
                <c:pt idx="3">
                  <c:v>504</c:v>
                </c:pt>
                <c:pt idx="4">
                  <c:v>546</c:v>
                </c:pt>
              </c:numCache>
            </c:numRef>
          </c:val>
          <c:extLst>
            <c:ext xmlns:c16="http://schemas.microsoft.com/office/drawing/2014/chart" uri="{C3380CC4-5D6E-409C-BE32-E72D297353CC}">
              <c16:uniqueId val="{00000002-5495-3E42-84D1-12D7181BFCBC}"/>
            </c:ext>
          </c:extLst>
        </c:ser>
        <c:ser>
          <c:idx val="3"/>
          <c:order val="3"/>
          <c:tx>
            <c:strRef>
              <c:f>'RT Travel Adjacent Regions'!$AU$89</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dLbl>
              <c:idx val="2"/>
              <c:layout>
                <c:manualLayout>
                  <c:x val="-3.6441279504972501E-2"/>
                  <c:y val="4.93475718962141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FC-374A-9A2C-2471EBDFC3B3}"/>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Regions'!$AQ$90:$AQ$94</c:f>
              <c:strCache>
                <c:ptCount val="5"/>
                <c:pt idx="0">
                  <c:v>San Jose-Fresno/                                   151miles</c:v>
                </c:pt>
                <c:pt idx="1">
                  <c:v>Giroy-KT/Hanford/                                              165miles</c:v>
                </c:pt>
                <c:pt idx="2">
                  <c:v>Millbrae-Fresno/                                            192miles</c:v>
                </c:pt>
                <c:pt idx="3">
                  <c:v>San Jose-KT Hanford/                                             195miles</c:v>
                </c:pt>
                <c:pt idx="4">
                  <c:v>San Francisco-Fresno/                                                                  199miles</c:v>
                </c:pt>
              </c:strCache>
            </c:strRef>
          </c:cat>
          <c:val>
            <c:numRef>
              <c:f>'RT Travel Adjacent Regions'!$AU$90:$AU$94</c:f>
              <c:numCache>
                <c:formatCode>#,##0</c:formatCode>
                <c:ptCount val="5"/>
                <c:pt idx="0">
                  <c:v>-54.5</c:v>
                </c:pt>
                <c:pt idx="1">
                  <c:v>-19.099999999999966</c:v>
                </c:pt>
                <c:pt idx="2">
                  <c:v>-116.29999999999995</c:v>
                </c:pt>
                <c:pt idx="3">
                  <c:v>-93.599999999999966</c:v>
                </c:pt>
                <c:pt idx="4">
                  <c:v>-98.999999999999943</c:v>
                </c:pt>
              </c:numCache>
            </c:numRef>
          </c:val>
          <c:extLst>
            <c:ext xmlns:c16="http://schemas.microsoft.com/office/drawing/2014/chart" uri="{C3380CC4-5D6E-409C-BE32-E72D297353CC}">
              <c16:uniqueId val="{00000003-5495-3E42-84D1-12D7181BFCBC}"/>
            </c:ext>
          </c:extLst>
        </c:ser>
        <c:ser>
          <c:idx val="4"/>
          <c:order val="4"/>
          <c:tx>
            <c:strRef>
              <c:f>'RT Travel Adjacent Regions'!$AV$89</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Regions'!$AQ$90:$AQ$94</c:f>
              <c:strCache>
                <c:ptCount val="5"/>
                <c:pt idx="0">
                  <c:v>San Jose-Fresno/                                   151miles</c:v>
                </c:pt>
                <c:pt idx="1">
                  <c:v>Giroy-KT/Hanford/                                              165miles</c:v>
                </c:pt>
                <c:pt idx="2">
                  <c:v>Millbrae-Fresno/                                            192miles</c:v>
                </c:pt>
                <c:pt idx="3">
                  <c:v>San Jose-KT Hanford/                                             195miles</c:v>
                </c:pt>
                <c:pt idx="4">
                  <c:v>San Francisco-Fresno/                                                                  199miles</c:v>
                </c:pt>
              </c:strCache>
            </c:strRef>
          </c:cat>
          <c:val>
            <c:numRef>
              <c:f>'RT Travel Adjacent Regions'!$AV$90:$AV$94</c:f>
              <c:numCache>
                <c:formatCode>#,##0</c:formatCode>
                <c:ptCount val="5"/>
                <c:pt idx="0">
                  <c:v>-486</c:v>
                </c:pt>
                <c:pt idx="1">
                  <c:v>-446</c:v>
                </c:pt>
                <c:pt idx="2">
                  <c:v>-52</c:v>
                </c:pt>
                <c:pt idx="3">
                  <c:v>-394</c:v>
                </c:pt>
                <c:pt idx="4">
                  <c:v>-14</c:v>
                </c:pt>
              </c:numCache>
            </c:numRef>
          </c:val>
          <c:extLst>
            <c:ext xmlns:c16="http://schemas.microsoft.com/office/drawing/2014/chart" uri="{C3380CC4-5D6E-409C-BE32-E72D297353CC}">
              <c16:uniqueId val="{00000004-5495-3E42-84D1-12D7181BFCBC}"/>
            </c:ext>
          </c:extLst>
        </c:ser>
        <c:dLbls>
          <c:showLegendKey val="0"/>
          <c:showVal val="0"/>
          <c:showCatName val="0"/>
          <c:showSerName val="0"/>
          <c:showPercent val="0"/>
          <c:showBubbleSize val="0"/>
        </c:dLbls>
        <c:gapWidth val="50"/>
        <c:axId val="-2127547064"/>
        <c:axId val="-2127550696"/>
      </c:barChart>
      <c:catAx>
        <c:axId val="-21275470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27550696"/>
        <c:crosses val="autoZero"/>
        <c:auto val="1"/>
        <c:lblAlgn val="ctr"/>
        <c:lblOffset val="100"/>
        <c:noMultiLvlLbl val="0"/>
      </c:catAx>
      <c:valAx>
        <c:axId val="-2127550696"/>
        <c:scaling>
          <c:orientation val="minMax"/>
          <c:max val="1200"/>
          <c:min val="-50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27547064"/>
        <c:crosses val="autoZero"/>
        <c:crossBetween val="between"/>
      </c:valAx>
      <c:spPr>
        <a:noFill/>
        <a:ln>
          <a:noFill/>
        </a:ln>
        <a:effectLst/>
      </c:spPr>
    </c:plotArea>
    <c:legend>
      <c:legendPos val="b"/>
      <c:layout>
        <c:manualLayout>
          <c:xMode val="edge"/>
          <c:yMode val="edge"/>
          <c:x val="0"/>
          <c:y val="4.8105748167581652E-3"/>
          <c:w val="0.89924865280157207"/>
          <c:h val="0.33143072018678199"/>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684726172408313E-2"/>
          <c:y val="3.7383165146797771E-2"/>
          <c:w val="0.95855292007686899"/>
          <c:h val="0.89478337564918797"/>
        </c:manualLayout>
      </c:layout>
      <c:barChart>
        <c:barDir val="col"/>
        <c:grouping val="clustered"/>
        <c:varyColors val="0"/>
        <c:ser>
          <c:idx val="0"/>
          <c:order val="0"/>
          <c:tx>
            <c:strRef>
              <c:f>'RT Travel Adjacent Regions'!$AR$100</c:f>
              <c:strCache>
                <c:ptCount val="1"/>
                <c:pt idx="0">
                  <c:v>False Phase 1: Cost of Driving Alone Round-Trip @ 23¢/mile, the Authority's metric for fully-loaded auto costs</c:v>
                </c:pt>
              </c:strCache>
            </c:strRef>
          </c:tx>
          <c:spPr>
            <a:pattFill prst="pct20">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Regions'!$AQ$101:$AQ$105</c:f>
              <c:strCache>
                <c:ptCount val="5"/>
                <c:pt idx="0">
                  <c:v>San Jose-Merced/                          210miles</c:v>
                </c:pt>
                <c:pt idx="1">
                  <c:v>Millbrae-KT Hanford/                 217miles</c:v>
                </c:pt>
                <c:pt idx="2">
                  <c:v>Gilroy-Bakersfield/                           228miles</c:v>
                </c:pt>
                <c:pt idx="3">
                  <c:v>San Francisco-KT Hanford/                              243miles</c:v>
                </c:pt>
                <c:pt idx="4">
                  <c:v>San Jose-Bakersfield/                                      258miles</c:v>
                </c:pt>
              </c:strCache>
            </c:strRef>
          </c:cat>
          <c:val>
            <c:numRef>
              <c:f>'RT Travel Adjacent Regions'!$AR$101:$AR$105</c:f>
              <c:numCache>
                <c:formatCode>"$"#,##0</c:formatCode>
                <c:ptCount val="5"/>
                <c:pt idx="0">
                  <c:v>80.960000000000008</c:v>
                </c:pt>
                <c:pt idx="1">
                  <c:v>97.98</c:v>
                </c:pt>
                <c:pt idx="2">
                  <c:v>97.06</c:v>
                </c:pt>
                <c:pt idx="3">
                  <c:v>113.16000000000001</c:v>
                </c:pt>
                <c:pt idx="4">
                  <c:v>111.32000000000001</c:v>
                </c:pt>
              </c:numCache>
            </c:numRef>
          </c:val>
          <c:extLst>
            <c:ext xmlns:c16="http://schemas.microsoft.com/office/drawing/2014/chart" uri="{C3380CC4-5D6E-409C-BE32-E72D297353CC}">
              <c16:uniqueId val="{00000000-787C-1D4B-B8FA-4499499507E2}"/>
            </c:ext>
          </c:extLst>
        </c:ser>
        <c:ser>
          <c:idx val="1"/>
          <c:order val="1"/>
          <c:tx>
            <c:strRef>
              <c:f>'RT Travel Adjacent Regions'!$AS$100</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Regions'!$AQ$101:$AQ$105</c:f>
              <c:strCache>
                <c:ptCount val="5"/>
                <c:pt idx="0">
                  <c:v>San Jose-Merced/                          210miles</c:v>
                </c:pt>
                <c:pt idx="1">
                  <c:v>Millbrae-KT Hanford/                 217miles</c:v>
                </c:pt>
                <c:pt idx="2">
                  <c:v>Gilroy-Bakersfield/                           228miles</c:v>
                </c:pt>
                <c:pt idx="3">
                  <c:v>San Francisco-KT Hanford/                              243miles</c:v>
                </c:pt>
                <c:pt idx="4">
                  <c:v>San Jose-Bakersfield/                                      258miles</c:v>
                </c:pt>
              </c:strCache>
            </c:strRef>
          </c:cat>
          <c:val>
            <c:numRef>
              <c:f>'RT Travel Adjacent Regions'!$AS$101:$AS$105</c:f>
              <c:numCache>
                <c:formatCode>"$"#,##0</c:formatCode>
                <c:ptCount val="5"/>
                <c:pt idx="0">
                  <c:v>141</c:v>
                </c:pt>
                <c:pt idx="1">
                  <c:v>185</c:v>
                </c:pt>
                <c:pt idx="2">
                  <c:v>187</c:v>
                </c:pt>
                <c:pt idx="3">
                  <c:v>187</c:v>
                </c:pt>
                <c:pt idx="4">
                  <c:v>197</c:v>
                </c:pt>
              </c:numCache>
            </c:numRef>
          </c:val>
          <c:extLst>
            <c:ext xmlns:c16="http://schemas.microsoft.com/office/drawing/2014/chart" uri="{C3380CC4-5D6E-409C-BE32-E72D297353CC}">
              <c16:uniqueId val="{00000001-787C-1D4B-B8FA-4499499507E2}"/>
            </c:ext>
          </c:extLst>
        </c:ser>
        <c:ser>
          <c:idx val="2"/>
          <c:order val="2"/>
          <c:tx>
            <c:strRef>
              <c:f>'RT Travel Adjacent Regions'!$AT$100</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Regions'!$AQ$101:$AQ$105</c:f>
              <c:strCache>
                <c:ptCount val="5"/>
                <c:pt idx="0">
                  <c:v>San Jose-Merced/                          210miles</c:v>
                </c:pt>
                <c:pt idx="1">
                  <c:v>Millbrae-KT Hanford/                 217miles</c:v>
                </c:pt>
                <c:pt idx="2">
                  <c:v>Gilroy-Bakersfield/                           228miles</c:v>
                </c:pt>
                <c:pt idx="3">
                  <c:v>San Francisco-KT Hanford/                              243miles</c:v>
                </c:pt>
                <c:pt idx="4">
                  <c:v>San Jose-Bakersfield/                                      258miles</c:v>
                </c:pt>
              </c:strCache>
            </c:strRef>
          </c:cat>
          <c:val>
            <c:numRef>
              <c:f>'RT Travel Adjacent Regions'!$AT$101:$AT$105</c:f>
              <c:numCache>
                <c:formatCode>"$"#,##0</c:formatCode>
                <c:ptCount val="5"/>
                <c:pt idx="0">
                  <c:v>520</c:v>
                </c:pt>
                <c:pt idx="1">
                  <c:v>576</c:v>
                </c:pt>
                <c:pt idx="2">
                  <c:v>768</c:v>
                </c:pt>
                <c:pt idx="3">
                  <c:v>561</c:v>
                </c:pt>
                <c:pt idx="4">
                  <c:v>753</c:v>
                </c:pt>
              </c:numCache>
            </c:numRef>
          </c:val>
          <c:extLst>
            <c:ext xmlns:c16="http://schemas.microsoft.com/office/drawing/2014/chart" uri="{C3380CC4-5D6E-409C-BE32-E72D297353CC}">
              <c16:uniqueId val="{00000002-787C-1D4B-B8FA-4499499507E2}"/>
            </c:ext>
          </c:extLst>
        </c:ser>
        <c:ser>
          <c:idx val="3"/>
          <c:order val="3"/>
          <c:tx>
            <c:strRef>
              <c:f>'RT Travel Adjacent Regions'!$AU$100</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Regions'!$AQ$101:$AQ$105</c:f>
              <c:strCache>
                <c:ptCount val="5"/>
                <c:pt idx="0">
                  <c:v>San Jose-Merced/                          210miles</c:v>
                </c:pt>
                <c:pt idx="1">
                  <c:v>Millbrae-KT Hanford/                 217miles</c:v>
                </c:pt>
                <c:pt idx="2">
                  <c:v>Gilroy-Bakersfield/                           228miles</c:v>
                </c:pt>
                <c:pt idx="3">
                  <c:v>San Francisco-KT Hanford/                              243miles</c:v>
                </c:pt>
                <c:pt idx="4">
                  <c:v>San Jose-Bakersfield/                                      258miles</c:v>
                </c:pt>
              </c:strCache>
            </c:strRef>
          </c:cat>
          <c:val>
            <c:numRef>
              <c:f>'RT Travel Adjacent Regions'!$AU$101:$AU$105</c:f>
              <c:numCache>
                <c:formatCode>#,##0</c:formatCode>
                <c:ptCount val="5"/>
                <c:pt idx="0">
                  <c:v>-107.19999999999999</c:v>
                </c:pt>
                <c:pt idx="1">
                  <c:v>-51.899999999999977</c:v>
                </c:pt>
                <c:pt idx="2">
                  <c:v>-124.19999999999999</c:v>
                </c:pt>
                <c:pt idx="3">
                  <c:v>-66.799999999999955</c:v>
                </c:pt>
                <c:pt idx="4">
                  <c:v>-178.39999999999998</c:v>
                </c:pt>
              </c:numCache>
            </c:numRef>
          </c:val>
          <c:extLst>
            <c:ext xmlns:c16="http://schemas.microsoft.com/office/drawing/2014/chart" uri="{C3380CC4-5D6E-409C-BE32-E72D297353CC}">
              <c16:uniqueId val="{00000003-787C-1D4B-B8FA-4499499507E2}"/>
            </c:ext>
          </c:extLst>
        </c:ser>
        <c:ser>
          <c:idx val="4"/>
          <c:order val="4"/>
          <c:tx>
            <c:strRef>
              <c:f>'RT Travel Adjacent Regions'!$AV$100</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Regions'!$AQ$101:$AQ$105</c:f>
              <c:strCache>
                <c:ptCount val="5"/>
                <c:pt idx="0">
                  <c:v>San Jose-Merced/                          210miles</c:v>
                </c:pt>
                <c:pt idx="1">
                  <c:v>Millbrae-KT Hanford/                 217miles</c:v>
                </c:pt>
                <c:pt idx="2">
                  <c:v>Gilroy-Bakersfield/                           228miles</c:v>
                </c:pt>
                <c:pt idx="3">
                  <c:v>San Francisco-KT Hanford/                              243miles</c:v>
                </c:pt>
                <c:pt idx="4">
                  <c:v>San Jose-Bakersfield/                                      258miles</c:v>
                </c:pt>
              </c:strCache>
            </c:strRef>
          </c:cat>
          <c:val>
            <c:numRef>
              <c:f>'RT Travel Adjacent Regions'!$AV$101:$AV$105</c:f>
              <c:numCache>
                <c:formatCode>#,##0</c:formatCode>
                <c:ptCount val="5"/>
                <c:pt idx="0">
                  <c:v>-564</c:v>
                </c:pt>
                <c:pt idx="1">
                  <c:v>40</c:v>
                </c:pt>
                <c:pt idx="2">
                  <c:v>-704</c:v>
                </c:pt>
                <c:pt idx="3">
                  <c:v>78</c:v>
                </c:pt>
                <c:pt idx="4">
                  <c:v>2</c:v>
                </c:pt>
              </c:numCache>
            </c:numRef>
          </c:val>
          <c:extLst>
            <c:ext xmlns:c16="http://schemas.microsoft.com/office/drawing/2014/chart" uri="{C3380CC4-5D6E-409C-BE32-E72D297353CC}">
              <c16:uniqueId val="{00000004-787C-1D4B-B8FA-4499499507E2}"/>
            </c:ext>
          </c:extLst>
        </c:ser>
        <c:dLbls>
          <c:showLegendKey val="0"/>
          <c:showVal val="0"/>
          <c:showCatName val="0"/>
          <c:showSerName val="0"/>
          <c:showPercent val="0"/>
          <c:showBubbleSize val="0"/>
        </c:dLbls>
        <c:gapWidth val="50"/>
        <c:axId val="-2144397112"/>
        <c:axId val="-2144403944"/>
      </c:barChart>
      <c:catAx>
        <c:axId val="-2144397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44403944"/>
        <c:crosses val="autoZero"/>
        <c:auto val="1"/>
        <c:lblAlgn val="ctr"/>
        <c:lblOffset val="100"/>
        <c:noMultiLvlLbl val="0"/>
      </c:catAx>
      <c:valAx>
        <c:axId val="-2144403944"/>
        <c:scaling>
          <c:orientation val="minMax"/>
          <c:max val="1600"/>
          <c:min val="-75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44397112"/>
        <c:crosses val="autoZero"/>
        <c:crossBetween val="between"/>
      </c:valAx>
      <c:spPr>
        <a:noFill/>
        <a:ln>
          <a:noFill/>
        </a:ln>
        <a:effectLst/>
      </c:spPr>
    </c:plotArea>
    <c:legend>
      <c:legendPos val="b"/>
      <c:layout>
        <c:manualLayout>
          <c:xMode val="edge"/>
          <c:yMode val="edge"/>
          <c:x val="0"/>
          <c:y val="5.2308197029881702E-2"/>
          <c:w val="0.96401265460077712"/>
          <c:h val="0.24353864080891177"/>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412047953259664E-2"/>
          <c:y val="1.1165125019044391E-2"/>
          <c:w val="0.96058801020141504"/>
          <c:h val="0.94816958330804302"/>
        </c:manualLayout>
      </c:layout>
      <c:barChart>
        <c:barDir val="col"/>
        <c:grouping val="clustered"/>
        <c:varyColors val="0"/>
        <c:ser>
          <c:idx val="0"/>
          <c:order val="0"/>
          <c:tx>
            <c:strRef>
              <c:f>'RT Travel Adjacent Regions'!$AR$133</c:f>
              <c:strCache>
                <c:ptCount val="1"/>
                <c:pt idx="0">
                  <c:v>False Phase 1: Cost of Driving Alone Round-Trip @ 23¢/mile, the Authority's metric for fully-loaded auto costs</c:v>
                </c:pt>
              </c:strCache>
            </c:strRef>
          </c:tx>
          <c:spPr>
            <a:pattFill prst="pct25">
              <a:fgClr>
                <a:schemeClr val="accent1">
                  <a:lumMod val="60000"/>
                  <a:lumOff val="40000"/>
                </a:schemeClr>
              </a:fgClr>
              <a:bgClr>
                <a:srgbClr val="000090"/>
              </a:bgClr>
            </a:pattFill>
            <a:ln>
              <a:noFill/>
            </a:ln>
            <a:effectLst/>
          </c:spPr>
          <c:invertIfNegative val="0"/>
          <c:dLbls>
            <c:dLbl>
              <c:idx val="4"/>
              <c:layout>
                <c:manualLayout>
                  <c:x val="0"/>
                  <c:y val="1.7359556079214231E-2"/>
                </c:manualLayout>
              </c:layout>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206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27-014E-A527-181DD19F4F79}"/>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Regions'!$AQ$123:$AQ$127</c:f>
              <c:strCache>
                <c:ptCount val="5"/>
                <c:pt idx="0">
                  <c:v>Oakland-Fresno/                        209miles</c:v>
                </c:pt>
                <c:pt idx="1">
                  <c:v>Oakland-KT Hanford/                253miles</c:v>
                </c:pt>
                <c:pt idx="2">
                  <c:v>Oakland-Merced/                       268miles</c:v>
                </c:pt>
                <c:pt idx="3">
                  <c:v>Oakland-Bakersfield/                            316miles</c:v>
                </c:pt>
                <c:pt idx="4">
                  <c:v>Oakland-Sacramento/                                324miles</c:v>
                </c:pt>
              </c:strCache>
            </c:strRef>
          </c:cat>
          <c:val>
            <c:numRef>
              <c:f>'RT Travel Adjacent Regions'!$AR$123:$AR$127</c:f>
              <c:numCache>
                <c:formatCode>"$"#,##0</c:formatCode>
                <c:ptCount val="5"/>
                <c:pt idx="0">
                  <c:v>81.42</c:v>
                </c:pt>
                <c:pt idx="1">
                  <c:v>94.76</c:v>
                </c:pt>
                <c:pt idx="2">
                  <c:v>56.580000000000005</c:v>
                </c:pt>
                <c:pt idx="3">
                  <c:v>125.12</c:v>
                </c:pt>
                <c:pt idx="4">
                  <c:v>37.72</c:v>
                </c:pt>
              </c:numCache>
            </c:numRef>
          </c:val>
          <c:extLst>
            <c:ext xmlns:c16="http://schemas.microsoft.com/office/drawing/2014/chart" uri="{C3380CC4-5D6E-409C-BE32-E72D297353CC}">
              <c16:uniqueId val="{00000000-72ED-3D41-8D3A-8045321AC1A3}"/>
            </c:ext>
          </c:extLst>
        </c:ser>
        <c:ser>
          <c:idx val="1"/>
          <c:order val="1"/>
          <c:tx>
            <c:strRef>
              <c:f>'RT Travel Adjacent Regions'!$AS$133</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Regions'!$AQ$123:$AQ$127</c:f>
              <c:strCache>
                <c:ptCount val="5"/>
                <c:pt idx="0">
                  <c:v>Oakland-Fresno/                        209miles</c:v>
                </c:pt>
                <c:pt idx="1">
                  <c:v>Oakland-KT Hanford/                253miles</c:v>
                </c:pt>
                <c:pt idx="2">
                  <c:v>Oakland-Merced/                       268miles</c:v>
                </c:pt>
                <c:pt idx="3">
                  <c:v>Oakland-Bakersfield/                            316miles</c:v>
                </c:pt>
                <c:pt idx="4">
                  <c:v>Oakland-Sacramento/                                324miles</c:v>
                </c:pt>
              </c:strCache>
            </c:strRef>
          </c:cat>
          <c:val>
            <c:numRef>
              <c:f>'RT Travel Adjacent Regions'!$AS$123:$AS$127</c:f>
              <c:numCache>
                <c:formatCode>"$"#,##0</c:formatCode>
                <c:ptCount val="5"/>
                <c:pt idx="0">
                  <c:v>177.9</c:v>
                </c:pt>
                <c:pt idx="1">
                  <c:v>193.9</c:v>
                </c:pt>
                <c:pt idx="2">
                  <c:v>153.9</c:v>
                </c:pt>
                <c:pt idx="3">
                  <c:v>215.9</c:v>
                </c:pt>
                <c:pt idx="4">
                  <c:v>173.9</c:v>
                </c:pt>
              </c:numCache>
            </c:numRef>
          </c:val>
          <c:extLst>
            <c:ext xmlns:c16="http://schemas.microsoft.com/office/drawing/2014/chart" uri="{C3380CC4-5D6E-409C-BE32-E72D297353CC}">
              <c16:uniqueId val="{00000001-72ED-3D41-8D3A-8045321AC1A3}"/>
            </c:ext>
          </c:extLst>
        </c:ser>
        <c:ser>
          <c:idx val="2"/>
          <c:order val="2"/>
          <c:tx>
            <c:strRef>
              <c:f>'RT Travel Adjacent Regions'!$AT$133</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Regions'!$AQ$123:$AQ$127</c:f>
              <c:strCache>
                <c:ptCount val="5"/>
                <c:pt idx="0">
                  <c:v>Oakland-Fresno/                        209miles</c:v>
                </c:pt>
                <c:pt idx="1">
                  <c:v>Oakland-KT Hanford/                253miles</c:v>
                </c:pt>
                <c:pt idx="2">
                  <c:v>Oakland-Merced/                       268miles</c:v>
                </c:pt>
                <c:pt idx="3">
                  <c:v>Oakland-Bakersfield/                            316miles</c:v>
                </c:pt>
                <c:pt idx="4">
                  <c:v>Oakland-Sacramento/                                324miles</c:v>
                </c:pt>
              </c:strCache>
            </c:strRef>
          </c:cat>
          <c:val>
            <c:numRef>
              <c:f>'RT Travel Adjacent Regions'!$AT$123:$AT$127</c:f>
              <c:numCache>
                <c:formatCode>"$"#,##0</c:formatCode>
                <c:ptCount val="5"/>
                <c:pt idx="0">
                  <c:v>561</c:v>
                </c:pt>
                <c:pt idx="1">
                  <c:v>576</c:v>
                </c:pt>
                <c:pt idx="2">
                  <c:v>592</c:v>
                </c:pt>
                <c:pt idx="3">
                  <c:v>329</c:v>
                </c:pt>
                <c:pt idx="4">
                  <c:v>348</c:v>
                </c:pt>
              </c:numCache>
            </c:numRef>
          </c:val>
          <c:extLst>
            <c:ext xmlns:c16="http://schemas.microsoft.com/office/drawing/2014/chart" uri="{C3380CC4-5D6E-409C-BE32-E72D297353CC}">
              <c16:uniqueId val="{00000002-72ED-3D41-8D3A-8045321AC1A3}"/>
            </c:ext>
          </c:extLst>
        </c:ser>
        <c:ser>
          <c:idx val="3"/>
          <c:order val="3"/>
          <c:tx>
            <c:strRef>
              <c:f>'RT Travel Adjacent Regions'!$AU$133</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Regions'!$AQ$123:$AQ$127</c:f>
              <c:strCache>
                <c:ptCount val="5"/>
                <c:pt idx="0">
                  <c:v>Oakland-Fresno/                        209miles</c:v>
                </c:pt>
                <c:pt idx="1">
                  <c:v>Oakland-KT Hanford/                253miles</c:v>
                </c:pt>
                <c:pt idx="2">
                  <c:v>Oakland-Merced/                       268miles</c:v>
                </c:pt>
                <c:pt idx="3">
                  <c:v>Oakland-Bakersfield/                            316miles</c:v>
                </c:pt>
                <c:pt idx="4">
                  <c:v>Oakland-Sacramento/                                324miles</c:v>
                </c:pt>
              </c:strCache>
            </c:strRef>
          </c:cat>
          <c:val>
            <c:numRef>
              <c:f>'RT Travel Adjacent Regions'!$AU$123:$AU$127</c:f>
              <c:numCache>
                <c:formatCode>#,##0</c:formatCode>
                <c:ptCount val="5"/>
                <c:pt idx="0">
                  <c:v>18.700000000000045</c:v>
                </c:pt>
                <c:pt idx="1">
                  <c:v>67.000000000000057</c:v>
                </c:pt>
                <c:pt idx="2">
                  <c:v>209.40000000000003</c:v>
                </c:pt>
                <c:pt idx="3">
                  <c:v>-68.399999999999977</c:v>
                </c:pt>
                <c:pt idx="4">
                  <c:v>720</c:v>
                </c:pt>
              </c:numCache>
            </c:numRef>
          </c:val>
          <c:extLst>
            <c:ext xmlns:c16="http://schemas.microsoft.com/office/drawing/2014/chart" uri="{C3380CC4-5D6E-409C-BE32-E72D297353CC}">
              <c16:uniqueId val="{00000003-72ED-3D41-8D3A-8045321AC1A3}"/>
            </c:ext>
          </c:extLst>
        </c:ser>
        <c:ser>
          <c:idx val="4"/>
          <c:order val="4"/>
          <c:tx>
            <c:strRef>
              <c:f>'RT Travel Adjacent Regions'!$AV$133</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Pt>
            <c:idx val="4"/>
            <c:invertIfNegative val="0"/>
            <c:bubble3D val="0"/>
            <c:extLst>
              <c:ext xmlns:c16="http://schemas.microsoft.com/office/drawing/2014/chart" uri="{C3380CC4-5D6E-409C-BE32-E72D297353CC}">
                <c16:uniqueId val="{00000005-72ED-3D41-8D3A-8045321AC1A3}"/>
              </c:ext>
            </c:extLst>
          </c:dPt>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Regions'!$AQ$123:$AQ$127</c:f>
              <c:strCache>
                <c:ptCount val="5"/>
                <c:pt idx="0">
                  <c:v>Oakland-Fresno/                        209miles</c:v>
                </c:pt>
                <c:pt idx="1">
                  <c:v>Oakland-KT Hanford/                253miles</c:v>
                </c:pt>
                <c:pt idx="2">
                  <c:v>Oakland-Merced/                       268miles</c:v>
                </c:pt>
                <c:pt idx="3">
                  <c:v>Oakland-Bakersfield/                            316miles</c:v>
                </c:pt>
                <c:pt idx="4">
                  <c:v>Oakland-Sacramento/                                324miles</c:v>
                </c:pt>
              </c:strCache>
            </c:strRef>
          </c:cat>
          <c:val>
            <c:numRef>
              <c:f>'RT Travel Adjacent Regions'!$AV$123:$AV$127</c:f>
              <c:numCache>
                <c:formatCode>#,##0</c:formatCode>
                <c:ptCount val="5"/>
                <c:pt idx="0">
                  <c:v>60</c:v>
                </c:pt>
                <c:pt idx="1">
                  <c:v>152</c:v>
                </c:pt>
                <c:pt idx="2">
                  <c:v>138</c:v>
                </c:pt>
                <c:pt idx="3">
                  <c:v>110</c:v>
                </c:pt>
                <c:pt idx="4">
                  <c:v>296</c:v>
                </c:pt>
              </c:numCache>
            </c:numRef>
          </c:val>
          <c:extLst>
            <c:ext xmlns:c16="http://schemas.microsoft.com/office/drawing/2014/chart" uri="{C3380CC4-5D6E-409C-BE32-E72D297353CC}">
              <c16:uniqueId val="{00000004-72ED-3D41-8D3A-8045321AC1A3}"/>
            </c:ext>
          </c:extLst>
        </c:ser>
        <c:dLbls>
          <c:showLegendKey val="0"/>
          <c:showVal val="0"/>
          <c:showCatName val="0"/>
          <c:showSerName val="0"/>
          <c:showPercent val="0"/>
          <c:showBubbleSize val="0"/>
        </c:dLbls>
        <c:gapWidth val="50"/>
        <c:axId val="-2144475016"/>
        <c:axId val="-2144500456"/>
      </c:barChart>
      <c:catAx>
        <c:axId val="-21444750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44500456"/>
        <c:crosses val="autoZero"/>
        <c:auto val="1"/>
        <c:lblAlgn val="ctr"/>
        <c:lblOffset val="100"/>
        <c:noMultiLvlLbl val="0"/>
      </c:catAx>
      <c:valAx>
        <c:axId val="-2144500456"/>
        <c:scaling>
          <c:orientation val="minMax"/>
          <c:max val="1050"/>
          <c:min val="-10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44475016"/>
        <c:crosses val="autoZero"/>
        <c:crossBetween val="between"/>
      </c:valAx>
      <c:spPr>
        <a:noFill/>
        <a:ln>
          <a:noFill/>
        </a:ln>
        <a:effectLst/>
      </c:spPr>
    </c:plotArea>
    <c:legend>
      <c:legendPos val="b"/>
      <c:layout>
        <c:manualLayout>
          <c:xMode val="edge"/>
          <c:yMode val="edge"/>
          <c:x val="0"/>
          <c:y val="2.2382101753353704E-2"/>
          <c:w val="0.86585483030393118"/>
          <c:h val="0.345813462543204"/>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629564421997201E-2"/>
          <c:y val="4.1825095057034203E-2"/>
          <c:w val="0.95937043557800294"/>
          <c:h val="0.88228136882129304"/>
        </c:manualLayout>
      </c:layout>
      <c:barChart>
        <c:barDir val="col"/>
        <c:grouping val="clustered"/>
        <c:varyColors val="0"/>
        <c:ser>
          <c:idx val="0"/>
          <c:order val="0"/>
          <c:tx>
            <c:strRef>
              <c:f>'RT Travel Adjacent Regions'!$AR$145</c:f>
              <c:strCache>
                <c:ptCount val="1"/>
                <c:pt idx="0">
                  <c:v>False Phase 1: Cost of Driving Alone Round-Trip @ 23¢/mile, the Authority's metric for fully-loaded auto costs</c:v>
                </c:pt>
              </c:strCache>
            </c:strRef>
          </c:tx>
          <c:spPr>
            <a:pattFill prst="pct20">
              <a:fgClr>
                <a:schemeClr val="accent1">
                  <a:lumMod val="60000"/>
                  <a:lumOff val="40000"/>
                </a:schemeClr>
              </a:fgClr>
              <a:bgClr>
                <a:srgbClr val="000090"/>
              </a:bgClr>
            </a:pattFill>
            <a:ln>
              <a:noFill/>
            </a:ln>
            <a:effectLst/>
          </c:spPr>
          <c:invertIfNegative val="0"/>
          <c:dLbls>
            <c:dLbl>
              <c:idx val="2"/>
              <c:layout>
                <c:manualLayout>
                  <c:x val="0"/>
                  <c:y val="4.33514225951323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D6-1945-B49F-91EED8E5724C}"/>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Regions'!$AQ$146:$AQ$150</c:f>
              <c:strCache>
                <c:ptCount val="5"/>
                <c:pt idx="0">
                  <c:v>Fresno-Palmdale/                                      210miles</c:v>
                </c:pt>
                <c:pt idx="1">
                  <c:v>KT Hanford-Burbank (BUR)/                              228miles</c:v>
                </c:pt>
                <c:pt idx="2">
                  <c:v>San Jose-Modesto/                                                 210miles</c:v>
                </c:pt>
                <c:pt idx="3">
                  <c:v>Fresno-Burbank (BUR)/                         261miles</c:v>
                </c:pt>
                <c:pt idx="4">
                  <c:v>Bakersfield-Millbrae/                           291miles</c:v>
                </c:pt>
              </c:strCache>
            </c:strRef>
          </c:cat>
          <c:val>
            <c:numRef>
              <c:f>'RT Travel Adjacent Regions'!$AR$146:$AR$150</c:f>
              <c:numCache>
                <c:formatCode>"$"#,##0</c:formatCode>
                <c:ptCount val="5"/>
                <c:pt idx="0">
                  <c:v>94.3</c:v>
                </c:pt>
                <c:pt idx="1">
                  <c:v>84.64</c:v>
                </c:pt>
                <c:pt idx="2">
                  <c:v>43.24</c:v>
                </c:pt>
                <c:pt idx="3">
                  <c:v>95.22</c:v>
                </c:pt>
                <c:pt idx="4">
                  <c:v>126.5</c:v>
                </c:pt>
              </c:numCache>
            </c:numRef>
          </c:val>
          <c:extLst>
            <c:ext xmlns:c16="http://schemas.microsoft.com/office/drawing/2014/chart" uri="{C3380CC4-5D6E-409C-BE32-E72D297353CC}">
              <c16:uniqueId val="{00000000-A55C-F246-BF8D-2227F4AD2B07}"/>
            </c:ext>
          </c:extLst>
        </c:ser>
        <c:ser>
          <c:idx val="1"/>
          <c:order val="1"/>
          <c:tx>
            <c:strRef>
              <c:f>'RT Travel Adjacent Regions'!$AS$145</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Regions'!$AQ$146:$AQ$150</c:f>
              <c:strCache>
                <c:ptCount val="5"/>
                <c:pt idx="0">
                  <c:v>Fresno-Palmdale/                                      210miles</c:v>
                </c:pt>
                <c:pt idx="1">
                  <c:v>KT Hanford-Burbank (BUR)/                              228miles</c:v>
                </c:pt>
                <c:pt idx="2">
                  <c:v>San Jose-Modesto/                                                 210miles</c:v>
                </c:pt>
                <c:pt idx="3">
                  <c:v>Fresno-Burbank (BUR)/                         261miles</c:v>
                </c:pt>
                <c:pt idx="4">
                  <c:v>Bakersfield-Millbrae/                           291miles</c:v>
                </c:pt>
              </c:strCache>
            </c:strRef>
          </c:cat>
          <c:val>
            <c:numRef>
              <c:f>'RT Travel Adjacent Regions'!$AS$146:$AS$150</c:f>
              <c:numCache>
                <c:formatCode>"$"#,##0</c:formatCode>
                <c:ptCount val="5"/>
                <c:pt idx="0">
                  <c:v>179</c:v>
                </c:pt>
                <c:pt idx="1">
                  <c:v>165</c:v>
                </c:pt>
                <c:pt idx="2">
                  <c:v>141</c:v>
                </c:pt>
                <c:pt idx="3">
                  <c:v>181</c:v>
                </c:pt>
                <c:pt idx="4">
                  <c:v>209</c:v>
                </c:pt>
              </c:numCache>
            </c:numRef>
          </c:val>
          <c:extLst>
            <c:ext xmlns:c16="http://schemas.microsoft.com/office/drawing/2014/chart" uri="{C3380CC4-5D6E-409C-BE32-E72D297353CC}">
              <c16:uniqueId val="{00000001-A55C-F246-BF8D-2227F4AD2B07}"/>
            </c:ext>
          </c:extLst>
        </c:ser>
        <c:ser>
          <c:idx val="2"/>
          <c:order val="2"/>
          <c:tx>
            <c:strRef>
              <c:f>'RT Travel Adjacent Regions'!$AT$145</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Regions'!$AQ$146:$AQ$150</c:f>
              <c:strCache>
                <c:ptCount val="5"/>
                <c:pt idx="0">
                  <c:v>Fresno-Palmdale/                                      210miles</c:v>
                </c:pt>
                <c:pt idx="1">
                  <c:v>KT Hanford-Burbank (BUR)/                              228miles</c:v>
                </c:pt>
                <c:pt idx="2">
                  <c:v>San Jose-Modesto/                                                 210miles</c:v>
                </c:pt>
                <c:pt idx="3">
                  <c:v>Fresno-Burbank (BUR)/                         261miles</c:v>
                </c:pt>
                <c:pt idx="4">
                  <c:v>Bakersfield-Millbrae/                           291miles</c:v>
                </c:pt>
              </c:strCache>
            </c:strRef>
          </c:cat>
          <c:val>
            <c:numRef>
              <c:f>'RT Travel Adjacent Regions'!$AT$146:$AT$150</c:f>
              <c:numCache>
                <c:formatCode>"$"#,##0</c:formatCode>
                <c:ptCount val="5"/>
                <c:pt idx="0">
                  <c:v>427</c:v>
                </c:pt>
                <c:pt idx="1">
                  <c:v>442</c:v>
                </c:pt>
                <c:pt idx="2">
                  <c:v>331</c:v>
                </c:pt>
                <c:pt idx="3">
                  <c:v>411</c:v>
                </c:pt>
                <c:pt idx="4">
                  <c:v>329</c:v>
                </c:pt>
              </c:numCache>
            </c:numRef>
          </c:val>
          <c:extLst>
            <c:ext xmlns:c16="http://schemas.microsoft.com/office/drawing/2014/chart" uri="{C3380CC4-5D6E-409C-BE32-E72D297353CC}">
              <c16:uniqueId val="{00000002-A55C-F246-BF8D-2227F4AD2B07}"/>
            </c:ext>
          </c:extLst>
        </c:ser>
        <c:ser>
          <c:idx val="3"/>
          <c:order val="3"/>
          <c:tx>
            <c:strRef>
              <c:f>'RT Travel Adjacent Regions'!$AU$145</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Regions'!$AQ$146:$AQ$150</c:f>
              <c:strCache>
                <c:ptCount val="5"/>
                <c:pt idx="0">
                  <c:v>Fresno-Palmdale/                                      210miles</c:v>
                </c:pt>
                <c:pt idx="1">
                  <c:v>KT Hanford-Burbank (BUR)/                              228miles</c:v>
                </c:pt>
                <c:pt idx="2">
                  <c:v>San Jose-Modesto/                                                 210miles</c:v>
                </c:pt>
                <c:pt idx="3">
                  <c:v>Fresno-Burbank (BUR)/                         261miles</c:v>
                </c:pt>
                <c:pt idx="4">
                  <c:v>Bakersfield-Millbrae/                           291miles</c:v>
                </c:pt>
              </c:strCache>
            </c:strRef>
          </c:cat>
          <c:val>
            <c:numRef>
              <c:f>'RT Travel Adjacent Regions'!$AU$146:$AU$150</c:f>
              <c:numCache>
                <c:formatCode>#,##0</c:formatCode>
                <c:ptCount val="5"/>
                <c:pt idx="0">
                  <c:v>-96.399999999999977</c:v>
                </c:pt>
                <c:pt idx="1">
                  <c:v>-35.799999999999955</c:v>
                </c:pt>
                <c:pt idx="2">
                  <c:v>132.80000000000001</c:v>
                </c:pt>
                <c:pt idx="3">
                  <c:v>-66.799999999999955</c:v>
                </c:pt>
                <c:pt idx="4">
                  <c:v>-180.39999999999998</c:v>
                </c:pt>
              </c:numCache>
            </c:numRef>
          </c:val>
          <c:extLst>
            <c:ext xmlns:c16="http://schemas.microsoft.com/office/drawing/2014/chart" uri="{C3380CC4-5D6E-409C-BE32-E72D297353CC}">
              <c16:uniqueId val="{00000003-A55C-F246-BF8D-2227F4AD2B07}"/>
            </c:ext>
          </c:extLst>
        </c:ser>
        <c:ser>
          <c:idx val="4"/>
          <c:order val="4"/>
          <c:tx>
            <c:strRef>
              <c:f>'RT Travel Adjacent Regions'!$AV$145</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Regions'!$AQ$146:$AQ$150</c:f>
              <c:strCache>
                <c:ptCount val="5"/>
                <c:pt idx="0">
                  <c:v>Fresno-Palmdale/                                      210miles</c:v>
                </c:pt>
                <c:pt idx="1">
                  <c:v>KT Hanford-Burbank (BUR)/                              228miles</c:v>
                </c:pt>
                <c:pt idx="2">
                  <c:v>San Jose-Modesto/                                                 210miles</c:v>
                </c:pt>
                <c:pt idx="3">
                  <c:v>Fresno-Burbank (BUR)/                         261miles</c:v>
                </c:pt>
                <c:pt idx="4">
                  <c:v>Bakersfield-Millbrae/                           291miles</c:v>
                </c:pt>
              </c:strCache>
            </c:strRef>
          </c:cat>
          <c:val>
            <c:numRef>
              <c:f>'RT Travel Adjacent Regions'!$AV$146:$AV$150</c:f>
              <c:numCache>
                <c:formatCode>#,##0</c:formatCode>
                <c:ptCount val="5"/>
                <c:pt idx="0">
                  <c:v>-44</c:v>
                </c:pt>
                <c:pt idx="1">
                  <c:v>-34</c:v>
                </c:pt>
                <c:pt idx="2">
                  <c:v>-368</c:v>
                </c:pt>
                <c:pt idx="3">
                  <c:v>-42</c:v>
                </c:pt>
                <c:pt idx="4">
                  <c:v>-2</c:v>
                </c:pt>
              </c:numCache>
            </c:numRef>
          </c:val>
          <c:extLst>
            <c:ext xmlns:c16="http://schemas.microsoft.com/office/drawing/2014/chart" uri="{C3380CC4-5D6E-409C-BE32-E72D297353CC}">
              <c16:uniqueId val="{00000004-A55C-F246-BF8D-2227F4AD2B07}"/>
            </c:ext>
          </c:extLst>
        </c:ser>
        <c:dLbls>
          <c:showLegendKey val="0"/>
          <c:showVal val="0"/>
          <c:showCatName val="0"/>
          <c:showSerName val="0"/>
          <c:showPercent val="0"/>
          <c:showBubbleSize val="0"/>
        </c:dLbls>
        <c:gapWidth val="50"/>
        <c:axId val="-2144578200"/>
        <c:axId val="-2144574760"/>
      </c:barChart>
      <c:catAx>
        <c:axId val="-21445782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44574760"/>
        <c:crosses val="autoZero"/>
        <c:auto val="1"/>
        <c:lblAlgn val="ctr"/>
        <c:lblOffset val="100"/>
        <c:noMultiLvlLbl val="0"/>
      </c:catAx>
      <c:valAx>
        <c:axId val="-2144574760"/>
        <c:scaling>
          <c:orientation val="minMax"/>
          <c:max val="850"/>
          <c:min val="-45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44578200"/>
        <c:crosses val="autoZero"/>
        <c:crossBetween val="between"/>
      </c:valAx>
      <c:spPr>
        <a:noFill/>
        <a:ln>
          <a:noFill/>
        </a:ln>
        <a:effectLst/>
      </c:spPr>
    </c:plotArea>
    <c:legend>
      <c:legendPos val="b"/>
      <c:layout>
        <c:manualLayout>
          <c:xMode val="edge"/>
          <c:yMode val="edge"/>
          <c:x val="1.0632080795193437E-4"/>
          <c:y val="3.5140537842836612E-2"/>
          <c:w val="0.90168845345249871"/>
          <c:h val="0.291899205343527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470253718285201E-2"/>
          <c:y val="5.0925925925925902E-2"/>
          <c:w val="0.94904068241469797"/>
          <c:h val="0.93494203849518798"/>
        </c:manualLayout>
      </c:layout>
      <c:barChart>
        <c:barDir val="col"/>
        <c:grouping val="clustered"/>
        <c:varyColors val="0"/>
        <c:ser>
          <c:idx val="0"/>
          <c:order val="0"/>
          <c:tx>
            <c:strRef>
              <c:f>'RT Travel Adjacent Regions'!$AR$156</c:f>
              <c:strCache>
                <c:ptCount val="1"/>
                <c:pt idx="0">
                  <c:v>False Phase 1: Cost of Driving Alone Round-Trip @ 23¢/mile, the Authority's metric for fully-loaded auto costs</c:v>
                </c:pt>
              </c:strCache>
            </c:strRef>
          </c:tx>
          <c:spPr>
            <a:pattFill prst="pct20">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Regions'!$AQ$157:$AQ$161</c:f>
              <c:strCache>
                <c:ptCount val="5"/>
                <c:pt idx="0">
                  <c:v>Merced-Millbrae/                                 243miles</c:v>
                </c:pt>
                <c:pt idx="1">
                  <c:v>Fresno-Anaheim/                                         294miles</c:v>
                </c:pt>
                <c:pt idx="2">
                  <c:v>Bakersfield-San Francisco/                                                306miles</c:v>
                </c:pt>
                <c:pt idx="3">
                  <c:v>Merced-Los Angeles/                                                                  326miles</c:v>
                </c:pt>
                <c:pt idx="4">
                  <c:v>Merced-OC Gateway/                                      340miles</c:v>
                </c:pt>
              </c:strCache>
            </c:strRef>
          </c:cat>
          <c:val>
            <c:numRef>
              <c:f>'RT Travel Adjacent Regions'!$AR$157:$AR$161</c:f>
              <c:numCache>
                <c:formatCode>"$"#,##0</c:formatCode>
                <c:ptCount val="5"/>
                <c:pt idx="0">
                  <c:v>60.720000000000006</c:v>
                </c:pt>
                <c:pt idx="1">
                  <c:v>114.08</c:v>
                </c:pt>
                <c:pt idx="2">
                  <c:v>129.72</c:v>
                </c:pt>
                <c:pt idx="3">
                  <c:v>126.5</c:v>
                </c:pt>
                <c:pt idx="4">
                  <c:v>132.48000000000002</c:v>
                </c:pt>
              </c:numCache>
            </c:numRef>
          </c:val>
          <c:extLst>
            <c:ext xmlns:c16="http://schemas.microsoft.com/office/drawing/2014/chart" uri="{C3380CC4-5D6E-409C-BE32-E72D297353CC}">
              <c16:uniqueId val="{00000000-B60A-644A-9429-82F5E59A681F}"/>
            </c:ext>
          </c:extLst>
        </c:ser>
        <c:ser>
          <c:idx val="1"/>
          <c:order val="1"/>
          <c:tx>
            <c:strRef>
              <c:f>'RT Travel Adjacent Regions'!$AS$156</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Regions'!$AQ$157:$AQ$161</c:f>
              <c:strCache>
                <c:ptCount val="5"/>
                <c:pt idx="0">
                  <c:v>Merced-Millbrae/                                 243miles</c:v>
                </c:pt>
                <c:pt idx="1">
                  <c:v>Fresno-Anaheim/                                         294miles</c:v>
                </c:pt>
                <c:pt idx="2">
                  <c:v>Bakersfield-San Francisco/                                                306miles</c:v>
                </c:pt>
                <c:pt idx="3">
                  <c:v>Merced-Los Angeles/                                                                  326miles</c:v>
                </c:pt>
                <c:pt idx="4">
                  <c:v>Merced-OC Gateway/                                      340miles</c:v>
                </c:pt>
              </c:strCache>
            </c:strRef>
          </c:cat>
          <c:val>
            <c:numRef>
              <c:f>'RT Travel Adjacent Regions'!$AS$157:$AS$161</c:f>
              <c:numCache>
                <c:formatCode>"$"#,##0</c:formatCode>
                <c:ptCount val="5"/>
                <c:pt idx="0">
                  <c:v>147</c:v>
                </c:pt>
                <c:pt idx="1">
                  <c:v>199</c:v>
                </c:pt>
                <c:pt idx="2">
                  <c:v>209</c:v>
                </c:pt>
                <c:pt idx="3">
                  <c:v>209</c:v>
                </c:pt>
                <c:pt idx="4">
                  <c:v>209</c:v>
                </c:pt>
              </c:numCache>
            </c:numRef>
          </c:val>
          <c:extLst>
            <c:ext xmlns:c16="http://schemas.microsoft.com/office/drawing/2014/chart" uri="{C3380CC4-5D6E-409C-BE32-E72D297353CC}">
              <c16:uniqueId val="{00000001-B60A-644A-9429-82F5E59A681F}"/>
            </c:ext>
          </c:extLst>
        </c:ser>
        <c:ser>
          <c:idx val="2"/>
          <c:order val="2"/>
          <c:tx>
            <c:strRef>
              <c:f>'RT Travel Adjacent Regions'!$AT$156</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Regions'!$AQ$157:$AQ$161</c:f>
              <c:strCache>
                <c:ptCount val="5"/>
                <c:pt idx="0">
                  <c:v>Merced-Millbrae/                                 243miles</c:v>
                </c:pt>
                <c:pt idx="1">
                  <c:v>Fresno-Anaheim/                                         294miles</c:v>
                </c:pt>
                <c:pt idx="2">
                  <c:v>Bakersfield-San Francisco/                                                306miles</c:v>
                </c:pt>
                <c:pt idx="3">
                  <c:v>Merced-Los Angeles/                                                                  326miles</c:v>
                </c:pt>
                <c:pt idx="4">
                  <c:v>Merced-OC Gateway/                                      340miles</c:v>
                </c:pt>
              </c:strCache>
            </c:strRef>
          </c:cat>
          <c:val>
            <c:numRef>
              <c:f>'RT Travel Adjacent Regions'!$AT$157:$AT$161</c:f>
              <c:numCache>
                <c:formatCode>"$"#,##0</c:formatCode>
                <c:ptCount val="5"/>
                <c:pt idx="0">
                  <c:v>576</c:v>
                </c:pt>
                <c:pt idx="1">
                  <c:v>411</c:v>
                </c:pt>
                <c:pt idx="2">
                  <c:v>314</c:v>
                </c:pt>
                <c:pt idx="3">
                  <c:v>411</c:v>
                </c:pt>
                <c:pt idx="4">
                  <c:v>426</c:v>
                </c:pt>
              </c:numCache>
            </c:numRef>
          </c:val>
          <c:extLst>
            <c:ext xmlns:c16="http://schemas.microsoft.com/office/drawing/2014/chart" uri="{C3380CC4-5D6E-409C-BE32-E72D297353CC}">
              <c16:uniqueId val="{00000002-B60A-644A-9429-82F5E59A681F}"/>
            </c:ext>
          </c:extLst>
        </c:ser>
        <c:ser>
          <c:idx val="3"/>
          <c:order val="3"/>
          <c:tx>
            <c:strRef>
              <c:f>'RT Travel Adjacent Regions'!$AU$156</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Regions'!$AQ$157:$AQ$161</c:f>
              <c:strCache>
                <c:ptCount val="5"/>
                <c:pt idx="0">
                  <c:v>Merced-Millbrae/                                 243miles</c:v>
                </c:pt>
                <c:pt idx="1">
                  <c:v>Fresno-Anaheim/                                         294miles</c:v>
                </c:pt>
                <c:pt idx="2">
                  <c:v>Bakersfield-San Francisco/                                                306miles</c:v>
                </c:pt>
                <c:pt idx="3">
                  <c:v>Merced-Los Angeles/                                                                  326miles</c:v>
                </c:pt>
                <c:pt idx="4">
                  <c:v>Merced-OC Gateway/                                      340miles</c:v>
                </c:pt>
              </c:strCache>
            </c:strRef>
          </c:cat>
          <c:val>
            <c:numRef>
              <c:f>'RT Travel Adjacent Regions'!$AU$157:$AU$161</c:f>
              <c:numCache>
                <c:formatCode>#,##0</c:formatCode>
                <c:ptCount val="5"/>
                <c:pt idx="0">
                  <c:v>-47.599999999999966</c:v>
                </c:pt>
                <c:pt idx="1">
                  <c:v>-44.799999999999955</c:v>
                </c:pt>
                <c:pt idx="2">
                  <c:v>-126.29999999999995</c:v>
                </c:pt>
                <c:pt idx="3">
                  <c:v>-146.69999999999993</c:v>
                </c:pt>
                <c:pt idx="4">
                  <c:v>-40.599999999999909</c:v>
                </c:pt>
              </c:numCache>
            </c:numRef>
          </c:val>
          <c:extLst>
            <c:ext xmlns:c16="http://schemas.microsoft.com/office/drawing/2014/chart" uri="{C3380CC4-5D6E-409C-BE32-E72D297353CC}">
              <c16:uniqueId val="{00000003-B60A-644A-9429-82F5E59A681F}"/>
            </c:ext>
          </c:extLst>
        </c:ser>
        <c:ser>
          <c:idx val="4"/>
          <c:order val="4"/>
          <c:tx>
            <c:strRef>
              <c:f>'RT Travel Adjacent Regions'!$AV$156</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Regions'!$AQ$157:$AQ$161</c:f>
              <c:strCache>
                <c:ptCount val="5"/>
                <c:pt idx="0">
                  <c:v>Merced-Millbrae/                                 243miles</c:v>
                </c:pt>
                <c:pt idx="1">
                  <c:v>Fresno-Anaheim/                                         294miles</c:v>
                </c:pt>
                <c:pt idx="2">
                  <c:v>Bakersfield-San Francisco/                                                306miles</c:v>
                </c:pt>
                <c:pt idx="3">
                  <c:v>Merced-Los Angeles/                                                                  326miles</c:v>
                </c:pt>
                <c:pt idx="4">
                  <c:v>Merced-OC Gateway/                                      340miles</c:v>
                </c:pt>
              </c:strCache>
            </c:strRef>
          </c:cat>
          <c:val>
            <c:numRef>
              <c:f>'RT Travel Adjacent Regions'!$AV$157:$AV$161</c:f>
              <c:numCache>
                <c:formatCode>#,##0</c:formatCode>
                <c:ptCount val="5"/>
                <c:pt idx="0">
                  <c:v>-4</c:v>
                </c:pt>
                <c:pt idx="1">
                  <c:v>164</c:v>
                </c:pt>
                <c:pt idx="2">
                  <c:v>36</c:v>
                </c:pt>
                <c:pt idx="3">
                  <c:v>46</c:v>
                </c:pt>
                <c:pt idx="4">
                  <c:v>136</c:v>
                </c:pt>
              </c:numCache>
            </c:numRef>
          </c:val>
          <c:extLst>
            <c:ext xmlns:c16="http://schemas.microsoft.com/office/drawing/2014/chart" uri="{C3380CC4-5D6E-409C-BE32-E72D297353CC}">
              <c16:uniqueId val="{00000004-B60A-644A-9429-82F5E59A681F}"/>
            </c:ext>
          </c:extLst>
        </c:ser>
        <c:dLbls>
          <c:showLegendKey val="0"/>
          <c:showVal val="0"/>
          <c:showCatName val="0"/>
          <c:showSerName val="0"/>
          <c:showPercent val="0"/>
          <c:showBubbleSize val="0"/>
        </c:dLbls>
        <c:gapWidth val="50"/>
        <c:axId val="-2144738376"/>
        <c:axId val="-2144734936"/>
      </c:barChart>
      <c:catAx>
        <c:axId val="-21447383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44734936"/>
        <c:crosses val="autoZero"/>
        <c:auto val="1"/>
        <c:lblAlgn val="ctr"/>
        <c:lblOffset val="100"/>
        <c:noMultiLvlLbl val="0"/>
      </c:catAx>
      <c:valAx>
        <c:axId val="-2144734936"/>
        <c:scaling>
          <c:orientation val="minMax"/>
          <c:max val="950"/>
          <c:min val="-175"/>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44738376"/>
        <c:crosses val="autoZero"/>
        <c:crossBetween val="between"/>
      </c:valAx>
      <c:spPr>
        <a:noFill/>
        <a:ln>
          <a:noFill/>
        </a:ln>
        <a:effectLst/>
      </c:spPr>
    </c:plotArea>
    <c:legend>
      <c:legendPos val="b"/>
      <c:layout>
        <c:manualLayout>
          <c:xMode val="edge"/>
          <c:yMode val="edge"/>
          <c:x val="0"/>
          <c:y val="6.7869720752975121E-2"/>
          <c:w val="0.89480062342858924"/>
          <c:h val="0.25567026041217999"/>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34251968503901E-2"/>
          <c:y val="1.5957599776299899E-2"/>
          <c:w val="0.93863210848643897"/>
          <c:h val="0.90587891926421305"/>
        </c:manualLayout>
      </c:layout>
      <c:barChart>
        <c:barDir val="col"/>
        <c:grouping val="clustered"/>
        <c:varyColors val="0"/>
        <c:ser>
          <c:idx val="0"/>
          <c:order val="0"/>
          <c:tx>
            <c:strRef>
              <c:f>'RT Travel Adjacent Regions'!$AR$167</c:f>
              <c:strCache>
                <c:ptCount val="1"/>
                <c:pt idx="0">
                  <c:v>False Phase 1: Cost of Driving Alone Round-Trip @ 23¢/mile, the Authority's metric for fully-loaded auto costs</c:v>
                </c:pt>
              </c:strCache>
            </c:strRef>
          </c:tx>
          <c:spPr>
            <a:pattFill prst="pct20">
              <a:fgClr>
                <a:schemeClr val="accent1">
                  <a:lumMod val="60000"/>
                  <a:lumOff val="40000"/>
                </a:schemeClr>
              </a:fgClr>
              <a:bgClr>
                <a:srgbClr val="000090"/>
              </a:bgClr>
            </a:pattFill>
            <a:ln>
              <a:noFill/>
            </a:ln>
            <a:effectLst/>
          </c:spPr>
          <c:invertIfNegative val="0"/>
          <c:dLbls>
            <c:dLbl>
              <c:idx val="0"/>
              <c:layout>
                <c:manualLayout>
                  <c:x val="0"/>
                  <c:y val="9.99665825029414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8F-284E-96B2-C0E70FDDD3D3}"/>
                </c:ext>
              </c:extLst>
            </c:dLbl>
            <c:dLbl>
              <c:idx val="1"/>
              <c:layout>
                <c:manualLayout>
                  <c:x val="0"/>
                  <c:y val="4.8843838855164398E-2"/>
                </c:manualLayout>
              </c:layout>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8F-284E-96B2-C0E70FDDD3D3}"/>
                </c:ext>
              </c:extLst>
            </c:dLbl>
            <c:dLbl>
              <c:idx val="2"/>
              <c:layout>
                <c:manualLayout>
                  <c:x val="-4.2738706599924397E-17"/>
                  <c:y val="1.4485743707975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8F-284E-96B2-C0E70FDDD3D3}"/>
                </c:ext>
              </c:extLst>
            </c:dLbl>
            <c:dLbl>
              <c:idx val="3"/>
              <c:layout>
                <c:manualLayout>
                  <c:x val="0"/>
                  <c:y val="1.79250860077688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8F-284E-96B2-C0E70FDDD3D3}"/>
                </c:ext>
              </c:extLst>
            </c:dLbl>
            <c:dLbl>
              <c:idx val="4"/>
              <c:layout>
                <c:manualLayout>
                  <c:x val="0"/>
                  <c:y val="1.41229659365952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15-AE44-8048-ACEA6DDC18FB}"/>
                </c:ext>
              </c:extLst>
            </c:dLbl>
            <c:dLbl>
              <c:idx val="5"/>
              <c:layout>
                <c:manualLayout>
                  <c:x val="0"/>
                  <c:y val="1.89371063756362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8F-284E-96B2-C0E70FDDD3D3}"/>
                </c:ext>
              </c:extLst>
            </c:dLbl>
            <c:dLbl>
              <c:idx val="6"/>
              <c:layout>
                <c:manualLayout>
                  <c:x val="-1.7091651915289977E-16"/>
                  <c:y val="1.59531794757923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86-C440-85B1-7A174BECFCDD}"/>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009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Regions'!$AQ$168:$AQ$174</c:f>
              <c:strCache>
                <c:ptCount val="7"/>
                <c:pt idx="0">
                  <c:v>Sacramento-Merced/                    118miles</c:v>
                </c:pt>
                <c:pt idx="1">
                  <c:v>Sacramento-KT Hanford/                           220 miles</c:v>
                </c:pt>
                <c:pt idx="2">
                  <c:v>Sacramento-Millbrae/                                308miles</c:v>
                </c:pt>
                <c:pt idx="3">
                  <c:v>Sacramento-Gilroy/                              245miles</c:v>
                </c:pt>
                <c:pt idx="4">
                  <c:v>Sacramento-Bakersfield/                               280miles</c:v>
                </c:pt>
                <c:pt idx="5">
                  <c:v> Sacramento-San Francisco/                                323miles</c:v>
                </c:pt>
                <c:pt idx="6">
                  <c:v>Sacramento-San Jose/                              275miles</c:v>
                </c:pt>
              </c:strCache>
            </c:strRef>
          </c:cat>
          <c:val>
            <c:numRef>
              <c:f>'RT Travel Adjacent Regions'!$AR$168:$AR$174</c:f>
              <c:numCache>
                <c:formatCode>"$"#,##0</c:formatCode>
                <c:ptCount val="7"/>
                <c:pt idx="0">
                  <c:v>52.900000000000006</c:v>
                </c:pt>
                <c:pt idx="1">
                  <c:v>92.92</c:v>
                </c:pt>
                <c:pt idx="2">
                  <c:v>46</c:v>
                </c:pt>
                <c:pt idx="3">
                  <c:v>70.84</c:v>
                </c:pt>
                <c:pt idx="4">
                  <c:v>127.88000000000001</c:v>
                </c:pt>
                <c:pt idx="5">
                  <c:v>39.56</c:v>
                </c:pt>
                <c:pt idx="6">
                  <c:v>55.2</c:v>
                </c:pt>
              </c:numCache>
            </c:numRef>
          </c:val>
          <c:extLst>
            <c:ext xmlns:c16="http://schemas.microsoft.com/office/drawing/2014/chart" uri="{C3380CC4-5D6E-409C-BE32-E72D297353CC}">
              <c16:uniqueId val="{00000000-99DE-724D-B5D3-0729B3059FE5}"/>
            </c:ext>
          </c:extLst>
        </c:ser>
        <c:ser>
          <c:idx val="1"/>
          <c:order val="1"/>
          <c:tx>
            <c:strRef>
              <c:f>'RT Travel Adjacent Regions'!$AS$167</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Regions'!$AQ$168:$AQ$174</c:f>
              <c:strCache>
                <c:ptCount val="7"/>
                <c:pt idx="0">
                  <c:v>Sacramento-Merced/                    118miles</c:v>
                </c:pt>
                <c:pt idx="1">
                  <c:v>Sacramento-KT Hanford/                           220 miles</c:v>
                </c:pt>
                <c:pt idx="2">
                  <c:v>Sacramento-Millbrae/                                308miles</c:v>
                </c:pt>
                <c:pt idx="3">
                  <c:v>Sacramento-Gilroy/                              245miles</c:v>
                </c:pt>
                <c:pt idx="4">
                  <c:v>Sacramento-Bakersfield/                               280miles</c:v>
                </c:pt>
                <c:pt idx="5">
                  <c:v> Sacramento-San Francisco/                                323miles</c:v>
                </c:pt>
                <c:pt idx="6">
                  <c:v>Sacramento-San Jose/                              275miles</c:v>
                </c:pt>
              </c:strCache>
            </c:strRef>
          </c:cat>
          <c:val>
            <c:numRef>
              <c:f>'RT Travel Adjacent Regions'!$AS$168:$AS$174</c:f>
              <c:numCache>
                <c:formatCode>"$"#,##0</c:formatCode>
                <c:ptCount val="7"/>
                <c:pt idx="0">
                  <c:v>43</c:v>
                </c:pt>
                <c:pt idx="1">
                  <c:v>153</c:v>
                </c:pt>
                <c:pt idx="2">
                  <c:v>181</c:v>
                </c:pt>
                <c:pt idx="3">
                  <c:v>153</c:v>
                </c:pt>
                <c:pt idx="4">
                  <c:v>183</c:v>
                </c:pt>
                <c:pt idx="5">
                  <c:v>183</c:v>
                </c:pt>
                <c:pt idx="6">
                  <c:v>167</c:v>
                </c:pt>
              </c:numCache>
            </c:numRef>
          </c:val>
          <c:extLst>
            <c:ext xmlns:c16="http://schemas.microsoft.com/office/drawing/2014/chart" uri="{C3380CC4-5D6E-409C-BE32-E72D297353CC}">
              <c16:uniqueId val="{00000001-99DE-724D-B5D3-0729B3059FE5}"/>
            </c:ext>
          </c:extLst>
        </c:ser>
        <c:ser>
          <c:idx val="2"/>
          <c:order val="2"/>
          <c:tx>
            <c:strRef>
              <c:f>'RT Travel Adjacent Regions'!$AT$167</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dLbl>
              <c:idx val="0"/>
              <c:layout>
                <c:manualLayout>
                  <c:x val="-1.321345548194152E-5"/>
                  <c:y val="5.60767768931080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8F-284E-96B2-C0E70FDDD3D3}"/>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Regions'!$AQ$168:$AQ$174</c:f>
              <c:strCache>
                <c:ptCount val="7"/>
                <c:pt idx="0">
                  <c:v>Sacramento-Merced/                    118miles</c:v>
                </c:pt>
                <c:pt idx="1">
                  <c:v>Sacramento-KT Hanford/                           220 miles</c:v>
                </c:pt>
                <c:pt idx="2">
                  <c:v>Sacramento-Millbrae/                                308miles</c:v>
                </c:pt>
                <c:pt idx="3">
                  <c:v>Sacramento-Gilroy/                              245miles</c:v>
                </c:pt>
                <c:pt idx="4">
                  <c:v>Sacramento-Bakersfield/                               280miles</c:v>
                </c:pt>
                <c:pt idx="5">
                  <c:v> Sacramento-San Francisco/                                323miles</c:v>
                </c:pt>
                <c:pt idx="6">
                  <c:v>Sacramento-San Jose/                              275miles</c:v>
                </c:pt>
              </c:strCache>
            </c:strRef>
          </c:cat>
          <c:val>
            <c:numRef>
              <c:f>'RT Travel Adjacent Regions'!$AT$168:$AT$174</c:f>
              <c:numCache>
                <c:formatCode>"$"#,##0</c:formatCode>
                <c:ptCount val="7"/>
                <c:pt idx="0">
                  <c:v>548</c:v>
                </c:pt>
                <c:pt idx="1">
                  <c:v>548</c:v>
                </c:pt>
                <c:pt idx="2">
                  <c:v>227</c:v>
                </c:pt>
                <c:pt idx="3">
                  <c:v>346</c:v>
                </c:pt>
                <c:pt idx="4">
                  <c:v>569</c:v>
                </c:pt>
                <c:pt idx="5">
                  <c:v>212</c:v>
                </c:pt>
                <c:pt idx="6">
                  <c:v>331</c:v>
                </c:pt>
              </c:numCache>
            </c:numRef>
          </c:val>
          <c:extLst>
            <c:ext xmlns:c16="http://schemas.microsoft.com/office/drawing/2014/chart" uri="{C3380CC4-5D6E-409C-BE32-E72D297353CC}">
              <c16:uniqueId val="{00000002-99DE-724D-B5D3-0729B3059FE5}"/>
            </c:ext>
          </c:extLst>
        </c:ser>
        <c:ser>
          <c:idx val="3"/>
          <c:order val="3"/>
          <c:tx>
            <c:strRef>
              <c:f>'RT Travel Adjacent Regions'!$AU$167</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Regions'!$AQ$168:$AQ$174</c:f>
              <c:strCache>
                <c:ptCount val="7"/>
                <c:pt idx="0">
                  <c:v>Sacramento-Merced/                    118miles</c:v>
                </c:pt>
                <c:pt idx="1">
                  <c:v>Sacramento-KT Hanford/                           220 miles</c:v>
                </c:pt>
                <c:pt idx="2">
                  <c:v>Sacramento-Millbrae/                                308miles</c:v>
                </c:pt>
                <c:pt idx="3">
                  <c:v>Sacramento-Gilroy/                              245miles</c:v>
                </c:pt>
                <c:pt idx="4">
                  <c:v>Sacramento-Bakersfield/                               280miles</c:v>
                </c:pt>
                <c:pt idx="5">
                  <c:v> Sacramento-San Francisco/                                323miles</c:v>
                </c:pt>
                <c:pt idx="6">
                  <c:v>Sacramento-San Jose/                              275miles</c:v>
                </c:pt>
              </c:strCache>
            </c:strRef>
          </c:cat>
          <c:val>
            <c:numRef>
              <c:f>'RT Travel Adjacent Regions'!$AU$168:$AU$174</c:f>
              <c:numCache>
                <c:formatCode>#,##0</c:formatCode>
                <c:ptCount val="7"/>
                <c:pt idx="0">
                  <c:v>298.20000000000005</c:v>
                </c:pt>
                <c:pt idx="1">
                  <c:v>259.90000000000003</c:v>
                </c:pt>
                <c:pt idx="2">
                  <c:v>536.5</c:v>
                </c:pt>
                <c:pt idx="3">
                  <c:v>362.5</c:v>
                </c:pt>
                <c:pt idx="4">
                  <c:v>125.5</c:v>
                </c:pt>
                <c:pt idx="5">
                  <c:v>567.70000000000005</c:v>
                </c:pt>
                <c:pt idx="6">
                  <c:v>471.9</c:v>
                </c:pt>
              </c:numCache>
            </c:numRef>
          </c:val>
          <c:extLst>
            <c:ext xmlns:c16="http://schemas.microsoft.com/office/drawing/2014/chart" uri="{C3380CC4-5D6E-409C-BE32-E72D297353CC}">
              <c16:uniqueId val="{00000003-99DE-724D-B5D3-0729B3059FE5}"/>
            </c:ext>
          </c:extLst>
        </c:ser>
        <c:ser>
          <c:idx val="4"/>
          <c:order val="4"/>
          <c:tx>
            <c:strRef>
              <c:f>'RT Travel Adjacent Regions'!$AV$167</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Regions'!$AQ$168:$AQ$174</c:f>
              <c:strCache>
                <c:ptCount val="7"/>
                <c:pt idx="0">
                  <c:v>Sacramento-Merced/                    118miles</c:v>
                </c:pt>
                <c:pt idx="1">
                  <c:v>Sacramento-KT Hanford/                           220 miles</c:v>
                </c:pt>
                <c:pt idx="2">
                  <c:v>Sacramento-Millbrae/                                308miles</c:v>
                </c:pt>
                <c:pt idx="3">
                  <c:v>Sacramento-Gilroy/                              245miles</c:v>
                </c:pt>
                <c:pt idx="4">
                  <c:v>Sacramento-Bakersfield/                               280miles</c:v>
                </c:pt>
                <c:pt idx="5">
                  <c:v> Sacramento-San Francisco/                                323miles</c:v>
                </c:pt>
                <c:pt idx="6">
                  <c:v>Sacramento-San Jose/                              275miles</c:v>
                </c:pt>
              </c:strCache>
            </c:strRef>
          </c:cat>
          <c:val>
            <c:numRef>
              <c:f>'RT Travel Adjacent Regions'!$AV$168:$AV$174</c:f>
              <c:numCache>
                <c:formatCode>#,##0</c:formatCode>
                <c:ptCount val="7"/>
                <c:pt idx="0">
                  <c:v>-130</c:v>
                </c:pt>
                <c:pt idx="1">
                  <c:v>18</c:v>
                </c:pt>
                <c:pt idx="2">
                  <c:v>440</c:v>
                </c:pt>
                <c:pt idx="3">
                  <c:v>-136</c:v>
                </c:pt>
                <c:pt idx="4">
                  <c:v>40</c:v>
                </c:pt>
                <c:pt idx="5">
                  <c:v>462</c:v>
                </c:pt>
                <c:pt idx="6">
                  <c:v>-114</c:v>
                </c:pt>
              </c:numCache>
            </c:numRef>
          </c:val>
          <c:extLst>
            <c:ext xmlns:c16="http://schemas.microsoft.com/office/drawing/2014/chart" uri="{C3380CC4-5D6E-409C-BE32-E72D297353CC}">
              <c16:uniqueId val="{00000004-99DE-724D-B5D3-0729B3059FE5}"/>
            </c:ext>
          </c:extLst>
        </c:ser>
        <c:dLbls>
          <c:showLegendKey val="0"/>
          <c:showVal val="0"/>
          <c:showCatName val="0"/>
          <c:showSerName val="0"/>
          <c:showPercent val="0"/>
          <c:showBubbleSize val="0"/>
        </c:dLbls>
        <c:gapWidth val="50"/>
        <c:axId val="-2144799592"/>
        <c:axId val="-2144796152"/>
      </c:barChart>
      <c:catAx>
        <c:axId val="-21447995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1" i="0" u="none" strike="noStrike" kern="1200" baseline="0">
                <a:solidFill>
                  <a:schemeClr val="tx1">
                    <a:lumMod val="65000"/>
                    <a:lumOff val="35000"/>
                  </a:schemeClr>
                </a:solidFill>
                <a:latin typeface="+mn-lt"/>
                <a:ea typeface="+mn-ea"/>
                <a:cs typeface="+mn-cs"/>
              </a:defRPr>
            </a:pPr>
            <a:endParaRPr lang="en-US"/>
          </a:p>
        </c:txPr>
        <c:crossAx val="-2144796152"/>
        <c:crosses val="autoZero"/>
        <c:auto val="1"/>
        <c:lblAlgn val="ctr"/>
        <c:lblOffset val="100"/>
        <c:noMultiLvlLbl val="0"/>
      </c:catAx>
      <c:valAx>
        <c:axId val="-2144796152"/>
        <c:scaling>
          <c:orientation val="minMax"/>
          <c:max val="1200"/>
          <c:min val="-18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44799592"/>
        <c:crosses val="autoZero"/>
        <c:crossBetween val="between"/>
      </c:valAx>
      <c:spPr>
        <a:noFill/>
        <a:ln>
          <a:noFill/>
        </a:ln>
        <a:effectLst/>
      </c:spPr>
    </c:plotArea>
    <c:legend>
      <c:legendPos val="b"/>
      <c:layout>
        <c:manualLayout>
          <c:xMode val="edge"/>
          <c:yMode val="edge"/>
          <c:x val="0"/>
          <c:y val="5.4598567930997689E-2"/>
          <c:w val="0.91754638611074968"/>
          <c:h val="0.33131893958837388"/>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0238964167103E-2"/>
          <c:y val="4.1815154865733499E-2"/>
          <c:w val="0.96286976103583299"/>
          <c:h val="0.88230934594153498"/>
        </c:manualLayout>
      </c:layout>
      <c:barChart>
        <c:barDir val="col"/>
        <c:grouping val="clustered"/>
        <c:varyColors val="0"/>
        <c:ser>
          <c:idx val="0"/>
          <c:order val="0"/>
          <c:tx>
            <c:strRef>
              <c:f>'RT Travel Adjacent Regions'!$AR$182</c:f>
              <c:strCache>
                <c:ptCount val="1"/>
                <c:pt idx="0">
                  <c:v>False Phase 1: Cost of Driving Alone Round-Trip @ 23¢/mile, the Authority's metric for fully-loaded auto costs</c:v>
                </c:pt>
              </c:strCache>
            </c:strRef>
          </c:tx>
          <c:spPr>
            <a:pattFill prst="pct20">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Regions'!$AQ$183:$AQ$187</c:f>
              <c:strCache>
                <c:ptCount val="5"/>
                <c:pt idx="0">
                  <c:v>San Diego-LA/                                          120miles</c:v>
                </c:pt>
                <c:pt idx="1">
                  <c:v>San Diego-Anaheim/                                      93miles</c:v>
                </c:pt>
                <c:pt idx="2">
                  <c:v>San Diego-OC Gateway/                                  106miles</c:v>
                </c:pt>
                <c:pt idx="3">
                  <c:v>San Diego-BUR/                                                 126miles</c:v>
                </c:pt>
                <c:pt idx="4">
                  <c:v>San Diego-Palmdale/                                     175miles</c:v>
                </c:pt>
              </c:strCache>
            </c:strRef>
          </c:cat>
          <c:val>
            <c:numRef>
              <c:f>'RT Travel Adjacent Regions'!$AR$183:$AR$187</c:f>
              <c:numCache>
                <c:formatCode>"$"#,##0</c:formatCode>
                <c:ptCount val="5"/>
                <c:pt idx="0">
                  <c:v>55.2</c:v>
                </c:pt>
                <c:pt idx="1">
                  <c:v>42.78</c:v>
                </c:pt>
                <c:pt idx="2">
                  <c:v>48.760000000000005</c:v>
                </c:pt>
                <c:pt idx="3">
                  <c:v>61.64</c:v>
                </c:pt>
                <c:pt idx="4">
                  <c:v>77.28</c:v>
                </c:pt>
              </c:numCache>
            </c:numRef>
          </c:val>
          <c:extLst>
            <c:ext xmlns:c16="http://schemas.microsoft.com/office/drawing/2014/chart" uri="{C3380CC4-5D6E-409C-BE32-E72D297353CC}">
              <c16:uniqueId val="{00000000-10F9-0843-B8FC-E0422C41625E}"/>
            </c:ext>
          </c:extLst>
        </c:ser>
        <c:ser>
          <c:idx val="1"/>
          <c:order val="1"/>
          <c:tx>
            <c:strRef>
              <c:f>'RT Travel Adjacent Regions'!$AS$182</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Regions'!$AQ$183:$AQ$187</c:f>
              <c:strCache>
                <c:ptCount val="5"/>
                <c:pt idx="0">
                  <c:v>San Diego-LA/                                          120miles</c:v>
                </c:pt>
                <c:pt idx="1">
                  <c:v>San Diego-Anaheim/                                      93miles</c:v>
                </c:pt>
                <c:pt idx="2">
                  <c:v>San Diego-OC Gateway/                                  106miles</c:v>
                </c:pt>
                <c:pt idx="3">
                  <c:v>San Diego-BUR/                                                 126miles</c:v>
                </c:pt>
                <c:pt idx="4">
                  <c:v>San Diego-Palmdale/                                     175miles</c:v>
                </c:pt>
              </c:strCache>
            </c:strRef>
          </c:cat>
          <c:val>
            <c:numRef>
              <c:f>'RT Travel Adjacent Regions'!$AS$183:$AS$187</c:f>
              <c:numCache>
                <c:formatCode>"$"#,##0</c:formatCode>
                <c:ptCount val="5"/>
                <c:pt idx="0">
                  <c:v>94.3</c:v>
                </c:pt>
                <c:pt idx="1">
                  <c:v>83.9</c:v>
                </c:pt>
                <c:pt idx="2">
                  <c:v>95.9</c:v>
                </c:pt>
                <c:pt idx="3">
                  <c:v>94.3</c:v>
                </c:pt>
                <c:pt idx="4">
                  <c:v>94.3</c:v>
                </c:pt>
              </c:numCache>
            </c:numRef>
          </c:val>
          <c:extLst>
            <c:ext xmlns:c16="http://schemas.microsoft.com/office/drawing/2014/chart" uri="{C3380CC4-5D6E-409C-BE32-E72D297353CC}">
              <c16:uniqueId val="{00000001-10F9-0843-B8FC-E0422C41625E}"/>
            </c:ext>
          </c:extLst>
        </c:ser>
        <c:ser>
          <c:idx val="2"/>
          <c:order val="2"/>
          <c:tx>
            <c:strRef>
              <c:f>'RT Travel Adjacent Regions'!$AT$182</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Regions'!$AQ$183:$AQ$187</c:f>
              <c:strCache>
                <c:ptCount val="5"/>
                <c:pt idx="0">
                  <c:v>San Diego-LA/                                          120miles</c:v>
                </c:pt>
                <c:pt idx="1">
                  <c:v>San Diego-Anaheim/                                      93miles</c:v>
                </c:pt>
                <c:pt idx="2">
                  <c:v>San Diego-OC Gateway/                                  106miles</c:v>
                </c:pt>
                <c:pt idx="3">
                  <c:v>San Diego-BUR/                                                 126miles</c:v>
                </c:pt>
                <c:pt idx="4">
                  <c:v>San Diego-Palmdale/                                     175miles</c:v>
                </c:pt>
              </c:strCache>
            </c:strRef>
          </c:cat>
          <c:val>
            <c:numRef>
              <c:f>'RT Travel Adjacent Regions'!$AT$183:$AT$187</c:f>
              <c:numCache>
                <c:formatCode>"$"#,##0</c:formatCode>
                <c:ptCount val="5"/>
                <c:pt idx="0">
                  <c:v>298</c:v>
                </c:pt>
                <c:pt idx="1">
                  <c:v>313</c:v>
                </c:pt>
                <c:pt idx="2">
                  <c:v>313</c:v>
                </c:pt>
                <c:pt idx="3">
                  <c:v>313</c:v>
                </c:pt>
                <c:pt idx="4">
                  <c:v>329</c:v>
                </c:pt>
              </c:numCache>
            </c:numRef>
          </c:val>
          <c:extLst>
            <c:ext xmlns:c16="http://schemas.microsoft.com/office/drawing/2014/chart" uri="{C3380CC4-5D6E-409C-BE32-E72D297353CC}">
              <c16:uniqueId val="{00000002-10F9-0843-B8FC-E0422C41625E}"/>
            </c:ext>
          </c:extLst>
        </c:ser>
        <c:ser>
          <c:idx val="3"/>
          <c:order val="3"/>
          <c:tx>
            <c:strRef>
              <c:f>'RT Travel Adjacent Regions'!$AU$182</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Regions'!$AQ$183:$AQ$187</c:f>
              <c:strCache>
                <c:ptCount val="5"/>
                <c:pt idx="0">
                  <c:v>San Diego-LA/                                          120miles</c:v>
                </c:pt>
                <c:pt idx="1">
                  <c:v>San Diego-Anaheim/                                      93miles</c:v>
                </c:pt>
                <c:pt idx="2">
                  <c:v>San Diego-OC Gateway/                                  106miles</c:v>
                </c:pt>
                <c:pt idx="3">
                  <c:v>San Diego-BUR/                                                 126miles</c:v>
                </c:pt>
                <c:pt idx="4">
                  <c:v>San Diego-Palmdale/                                     175miles</c:v>
                </c:pt>
              </c:strCache>
            </c:strRef>
          </c:cat>
          <c:val>
            <c:numRef>
              <c:f>'RT Travel Adjacent Regions'!$AU$183:$AU$187</c:f>
              <c:numCache>
                <c:formatCode>#,##0</c:formatCode>
                <c:ptCount val="5"/>
                <c:pt idx="0">
                  <c:v>196.5</c:v>
                </c:pt>
                <c:pt idx="1">
                  <c:v>187.3</c:v>
                </c:pt>
                <c:pt idx="2">
                  <c:v>263.70000000000005</c:v>
                </c:pt>
                <c:pt idx="3">
                  <c:v>246.5</c:v>
                </c:pt>
                <c:pt idx="4">
                  <c:v>210.8</c:v>
                </c:pt>
              </c:numCache>
            </c:numRef>
          </c:val>
          <c:extLst>
            <c:ext xmlns:c16="http://schemas.microsoft.com/office/drawing/2014/chart" uri="{C3380CC4-5D6E-409C-BE32-E72D297353CC}">
              <c16:uniqueId val="{00000003-10F9-0843-B8FC-E0422C41625E}"/>
            </c:ext>
          </c:extLst>
        </c:ser>
        <c:ser>
          <c:idx val="4"/>
          <c:order val="4"/>
          <c:tx>
            <c:strRef>
              <c:f>'RT Travel Adjacent Regions'!$AV$182</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Regions'!$AQ$183:$AQ$187</c:f>
              <c:strCache>
                <c:ptCount val="5"/>
                <c:pt idx="0">
                  <c:v>San Diego-LA/                                          120miles</c:v>
                </c:pt>
                <c:pt idx="1">
                  <c:v>San Diego-Anaheim/                                      93miles</c:v>
                </c:pt>
                <c:pt idx="2">
                  <c:v>San Diego-OC Gateway/                                  106miles</c:v>
                </c:pt>
                <c:pt idx="3">
                  <c:v>San Diego-BUR/                                                 126miles</c:v>
                </c:pt>
                <c:pt idx="4">
                  <c:v>San Diego-Palmdale/                                     175miles</c:v>
                </c:pt>
              </c:strCache>
            </c:strRef>
          </c:cat>
          <c:val>
            <c:numRef>
              <c:f>'RT Travel Adjacent Regions'!$AV$183:$AV$187</c:f>
              <c:numCache>
                <c:formatCode>#,##0</c:formatCode>
                <c:ptCount val="5"/>
                <c:pt idx="0">
                  <c:v>146</c:v>
                </c:pt>
                <c:pt idx="1">
                  <c:v>54</c:v>
                </c:pt>
                <c:pt idx="2">
                  <c:v>158</c:v>
                </c:pt>
                <c:pt idx="3">
                  <c:v>242</c:v>
                </c:pt>
                <c:pt idx="4">
                  <c:v>296</c:v>
                </c:pt>
              </c:numCache>
            </c:numRef>
          </c:val>
          <c:extLst>
            <c:ext xmlns:c16="http://schemas.microsoft.com/office/drawing/2014/chart" uri="{C3380CC4-5D6E-409C-BE32-E72D297353CC}">
              <c16:uniqueId val="{00000004-10F9-0843-B8FC-E0422C41625E}"/>
            </c:ext>
          </c:extLst>
        </c:ser>
        <c:dLbls>
          <c:showLegendKey val="0"/>
          <c:showVal val="0"/>
          <c:showCatName val="0"/>
          <c:showSerName val="0"/>
          <c:showPercent val="0"/>
          <c:showBubbleSize val="0"/>
        </c:dLbls>
        <c:gapWidth val="50"/>
        <c:axId val="-2144925112"/>
        <c:axId val="-2144921672"/>
      </c:barChart>
      <c:catAx>
        <c:axId val="-2144925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44921672"/>
        <c:crosses val="autoZero"/>
        <c:auto val="1"/>
        <c:lblAlgn val="ctr"/>
        <c:lblOffset val="100"/>
        <c:noMultiLvlLbl val="0"/>
      </c:catAx>
      <c:valAx>
        <c:axId val="-2144921672"/>
        <c:scaling>
          <c:orientation val="minMax"/>
          <c:max val="525"/>
          <c:min val="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44925112"/>
        <c:crosses val="autoZero"/>
        <c:crossBetween val="between"/>
      </c:valAx>
      <c:spPr>
        <a:noFill/>
        <a:ln>
          <a:noFill/>
        </a:ln>
        <a:effectLst/>
      </c:spPr>
    </c:plotArea>
    <c:legend>
      <c:legendPos val="b"/>
      <c:layout>
        <c:manualLayout>
          <c:xMode val="edge"/>
          <c:yMode val="edge"/>
          <c:x val="2.251597934275605E-4"/>
          <c:y val="0.12667547713730798"/>
          <c:w val="0.90603923813395304"/>
          <c:h val="0.24617213236936"/>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034992873091E-2"/>
          <c:y val="3.5436571201000397E-2"/>
          <c:w val="0.95140896031694899"/>
          <c:h val="0.92385982134590505"/>
        </c:manualLayout>
      </c:layout>
      <c:barChart>
        <c:barDir val="col"/>
        <c:grouping val="clustered"/>
        <c:varyColors val="0"/>
        <c:ser>
          <c:idx val="0"/>
          <c:order val="0"/>
          <c:tx>
            <c:strRef>
              <c:f>'RT Travel Adjacent Regions'!$AR$49</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Regions'!$AQ$50:$AQ$54</c:f>
              <c:strCache>
                <c:ptCount val="5"/>
                <c:pt idx="0">
                  <c:v>Burbank (BUR)-Turlock/                                       342miles</c:v>
                </c:pt>
                <c:pt idx="1">
                  <c:v>Oakland-Madera/                                          179miles</c:v>
                </c:pt>
                <c:pt idx="2">
                  <c:v>Anaheim-Modesto/                                           391miles</c:v>
                </c:pt>
                <c:pt idx="3">
                  <c:v>Los Angeles-Stockton/                                              392miles</c:v>
                </c:pt>
                <c:pt idx="4">
                  <c:v>OC Gateway-Elk Grove/                                               444miles</c:v>
                </c:pt>
              </c:strCache>
            </c:strRef>
          </c:cat>
          <c:val>
            <c:numRef>
              <c:f>'RT Travel Adjacent Regions'!$AR$50:$AR$54</c:f>
              <c:numCache>
                <c:formatCode>"$"#,##0</c:formatCode>
                <c:ptCount val="5"/>
                <c:pt idx="0">
                  <c:v>132.48000000000002</c:v>
                </c:pt>
                <c:pt idx="1">
                  <c:v>69.460000000000008</c:v>
                </c:pt>
                <c:pt idx="2">
                  <c:v>156.86000000000001</c:v>
                </c:pt>
                <c:pt idx="3">
                  <c:v>155.94</c:v>
                </c:pt>
                <c:pt idx="4">
                  <c:v>179.86</c:v>
                </c:pt>
              </c:numCache>
            </c:numRef>
          </c:val>
          <c:extLst>
            <c:ext xmlns:c16="http://schemas.microsoft.com/office/drawing/2014/chart" uri="{C3380CC4-5D6E-409C-BE32-E72D297353CC}">
              <c16:uniqueId val="{00000000-B9A5-D74C-B4A2-004920FEBAD3}"/>
            </c:ext>
          </c:extLst>
        </c:ser>
        <c:ser>
          <c:idx val="1"/>
          <c:order val="1"/>
          <c:tx>
            <c:strRef>
              <c:f>'RT Travel Adjacent Regions'!$AS$49</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Regions'!$AQ$50:$AQ$54</c:f>
              <c:strCache>
                <c:ptCount val="5"/>
                <c:pt idx="0">
                  <c:v>Burbank (BUR)-Turlock/                                       342miles</c:v>
                </c:pt>
                <c:pt idx="1">
                  <c:v>Oakland-Madera/                                          179miles</c:v>
                </c:pt>
                <c:pt idx="2">
                  <c:v>Anaheim-Modesto/                                           391miles</c:v>
                </c:pt>
                <c:pt idx="3">
                  <c:v>Los Angeles-Stockton/                                              392miles</c:v>
                </c:pt>
                <c:pt idx="4">
                  <c:v>OC Gateway-Elk Grove/                                               444miles</c:v>
                </c:pt>
              </c:strCache>
            </c:strRef>
          </c:cat>
          <c:val>
            <c:numRef>
              <c:f>'RT Travel Adjacent Regions'!$AS$50:$AS$54</c:f>
              <c:numCache>
                <c:formatCode>"$"#,##0</c:formatCode>
                <c:ptCount val="5"/>
                <c:pt idx="0">
                  <c:v>205</c:v>
                </c:pt>
                <c:pt idx="1">
                  <c:v>179.9</c:v>
                </c:pt>
                <c:pt idx="2">
                  <c:v>211</c:v>
                </c:pt>
                <c:pt idx="3">
                  <c:v>211</c:v>
                </c:pt>
                <c:pt idx="4">
                  <c:v>211</c:v>
                </c:pt>
              </c:numCache>
            </c:numRef>
          </c:val>
          <c:extLst>
            <c:ext xmlns:c16="http://schemas.microsoft.com/office/drawing/2014/chart" uri="{C3380CC4-5D6E-409C-BE32-E72D297353CC}">
              <c16:uniqueId val="{00000001-B9A5-D74C-B4A2-004920FEBAD3}"/>
            </c:ext>
          </c:extLst>
        </c:ser>
        <c:ser>
          <c:idx val="2"/>
          <c:order val="2"/>
          <c:tx>
            <c:strRef>
              <c:f>'RT Travel Adjacent Regions'!$AT$49</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Regions'!$AQ$50:$AQ$54</c:f>
              <c:strCache>
                <c:ptCount val="5"/>
                <c:pt idx="0">
                  <c:v>Burbank (BUR)-Turlock/                                       342miles</c:v>
                </c:pt>
                <c:pt idx="1">
                  <c:v>Oakland-Madera/                                          179miles</c:v>
                </c:pt>
                <c:pt idx="2">
                  <c:v>Anaheim-Modesto/                                           391miles</c:v>
                </c:pt>
                <c:pt idx="3">
                  <c:v>Los Angeles-Stockton/                                              392miles</c:v>
                </c:pt>
                <c:pt idx="4">
                  <c:v>OC Gateway-Elk Grove/                                               444miles</c:v>
                </c:pt>
              </c:strCache>
            </c:strRef>
          </c:cat>
          <c:val>
            <c:numRef>
              <c:f>'RT Travel Adjacent Regions'!$AT$50:$AT$54</c:f>
              <c:numCache>
                <c:formatCode>"$"#,##0</c:formatCode>
                <c:ptCount val="5"/>
                <c:pt idx="0">
                  <c:v>223</c:v>
                </c:pt>
                <c:pt idx="1">
                  <c:v>576</c:v>
                </c:pt>
                <c:pt idx="2">
                  <c:v>222</c:v>
                </c:pt>
                <c:pt idx="3">
                  <c:v>192</c:v>
                </c:pt>
                <c:pt idx="4">
                  <c:v>207</c:v>
                </c:pt>
              </c:numCache>
            </c:numRef>
          </c:val>
          <c:extLst>
            <c:ext xmlns:c16="http://schemas.microsoft.com/office/drawing/2014/chart" uri="{C3380CC4-5D6E-409C-BE32-E72D297353CC}">
              <c16:uniqueId val="{00000002-B9A5-D74C-B4A2-004920FEBAD3}"/>
            </c:ext>
          </c:extLst>
        </c:ser>
        <c:ser>
          <c:idx val="3"/>
          <c:order val="3"/>
          <c:tx>
            <c:strRef>
              <c:f>'RT Travel Adjacent Regions'!$AU$49</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dLbl>
              <c:idx val="2"/>
              <c:layout>
                <c:manualLayout>
                  <c:x val="-1.2767229996322378E-4"/>
                  <c:y val="3.27990710532722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14-5A4D-9DC5-DAB3DE801B17}"/>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Regions'!$AQ$50:$AQ$54</c:f>
              <c:strCache>
                <c:ptCount val="5"/>
                <c:pt idx="0">
                  <c:v>Burbank (BUR)-Turlock/                                       342miles</c:v>
                </c:pt>
                <c:pt idx="1">
                  <c:v>Oakland-Madera/                                          179miles</c:v>
                </c:pt>
                <c:pt idx="2">
                  <c:v>Anaheim-Modesto/                                           391miles</c:v>
                </c:pt>
                <c:pt idx="3">
                  <c:v>Los Angeles-Stockton/                                              392miles</c:v>
                </c:pt>
                <c:pt idx="4">
                  <c:v>OC Gateway-Elk Grove/                                               444miles</c:v>
                </c:pt>
              </c:strCache>
            </c:strRef>
          </c:cat>
          <c:val>
            <c:numRef>
              <c:f>'RT Travel Adjacent Regions'!$AU$50:$AU$54</c:f>
              <c:numCache>
                <c:formatCode>#,##0</c:formatCode>
                <c:ptCount val="5"/>
                <c:pt idx="0">
                  <c:v>-104.09999999999991</c:v>
                </c:pt>
                <c:pt idx="1">
                  <c:v>108.5</c:v>
                </c:pt>
                <c:pt idx="2">
                  <c:v>-8.5999999999999091</c:v>
                </c:pt>
                <c:pt idx="3">
                  <c:v>39.100000000000023</c:v>
                </c:pt>
                <c:pt idx="4">
                  <c:v>125.60000000000002</c:v>
                </c:pt>
              </c:numCache>
            </c:numRef>
          </c:val>
          <c:extLst>
            <c:ext xmlns:c16="http://schemas.microsoft.com/office/drawing/2014/chart" uri="{C3380CC4-5D6E-409C-BE32-E72D297353CC}">
              <c16:uniqueId val="{00000003-B9A5-D74C-B4A2-004920FEBAD3}"/>
            </c:ext>
          </c:extLst>
        </c:ser>
        <c:ser>
          <c:idx val="4"/>
          <c:order val="4"/>
          <c:tx>
            <c:strRef>
              <c:f>'RT Travel Adjacent Regions'!$AV$49</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Regions'!$AQ$50:$AQ$54</c:f>
              <c:strCache>
                <c:ptCount val="5"/>
                <c:pt idx="0">
                  <c:v>Burbank (BUR)-Turlock/                                       342miles</c:v>
                </c:pt>
                <c:pt idx="1">
                  <c:v>Oakland-Madera/                                          179miles</c:v>
                </c:pt>
                <c:pt idx="2">
                  <c:v>Anaheim-Modesto/                                           391miles</c:v>
                </c:pt>
                <c:pt idx="3">
                  <c:v>Los Angeles-Stockton/                                              392miles</c:v>
                </c:pt>
                <c:pt idx="4">
                  <c:v>OC Gateway-Elk Grove/                                               444miles</c:v>
                </c:pt>
              </c:strCache>
            </c:strRef>
          </c:cat>
          <c:val>
            <c:numRef>
              <c:f>'RT Travel Adjacent Regions'!$AV$50:$AV$54</c:f>
              <c:numCache>
                <c:formatCode>#,##0</c:formatCode>
                <c:ptCount val="5"/>
                <c:pt idx="0">
                  <c:v>86</c:v>
                </c:pt>
                <c:pt idx="1">
                  <c:v>90</c:v>
                </c:pt>
                <c:pt idx="2">
                  <c:v>308</c:v>
                </c:pt>
                <c:pt idx="3">
                  <c:v>312</c:v>
                </c:pt>
                <c:pt idx="4">
                  <c:v>502</c:v>
                </c:pt>
              </c:numCache>
            </c:numRef>
          </c:val>
          <c:extLst>
            <c:ext xmlns:c16="http://schemas.microsoft.com/office/drawing/2014/chart" uri="{C3380CC4-5D6E-409C-BE32-E72D297353CC}">
              <c16:uniqueId val="{00000004-B9A5-D74C-B4A2-004920FEBAD3}"/>
            </c:ext>
          </c:extLst>
        </c:ser>
        <c:dLbls>
          <c:showLegendKey val="0"/>
          <c:showVal val="0"/>
          <c:showCatName val="0"/>
          <c:showSerName val="0"/>
          <c:showPercent val="0"/>
          <c:showBubbleSize val="0"/>
        </c:dLbls>
        <c:gapWidth val="50"/>
        <c:axId val="-2145082728"/>
        <c:axId val="-2145079288"/>
      </c:barChart>
      <c:catAx>
        <c:axId val="-21450827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45079288"/>
        <c:crosses val="autoZero"/>
        <c:auto val="1"/>
        <c:lblAlgn val="ctr"/>
        <c:lblOffset val="100"/>
        <c:noMultiLvlLbl val="0"/>
      </c:catAx>
      <c:valAx>
        <c:axId val="-2145079288"/>
        <c:scaling>
          <c:orientation val="minMax"/>
          <c:max val="850"/>
          <c:min val="-150"/>
        </c:scaling>
        <c:delete val="0"/>
        <c:axPos val="l"/>
        <c:majorGridlines>
          <c:spPr>
            <a:ln w="12700" cap="rnd"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45082728"/>
        <c:crosses val="autoZero"/>
        <c:crossBetween val="between"/>
      </c:valAx>
      <c:spPr>
        <a:noFill/>
        <a:ln>
          <a:noFill/>
        </a:ln>
        <a:effectLst/>
      </c:spPr>
    </c:plotArea>
    <c:legend>
      <c:legendPos val="b"/>
      <c:layout>
        <c:manualLayout>
          <c:xMode val="edge"/>
          <c:yMode val="edge"/>
          <c:x val="5.2533744916610434E-4"/>
          <c:y val="6.4977705252235743E-2"/>
          <c:w val="0.95342697369951834"/>
          <c:h val="0.2888451083184960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5.8732438726849287E-2"/>
          <c:y val="2.9483085741540762E-2"/>
          <c:w val="0.87904003548852172"/>
          <c:h val="0.90361711243038134"/>
        </c:manualLayout>
      </c:layout>
      <c:barChart>
        <c:barDir val="col"/>
        <c:grouping val="clustered"/>
        <c:varyColors val="0"/>
        <c:ser>
          <c:idx val="0"/>
          <c:order val="0"/>
          <c:tx>
            <c:strRef>
              <c:f>'RT Intra-Regional Travel'!$Q$60:$Q$66</c:f>
              <c:strCache>
                <c:ptCount val="7"/>
                <c:pt idx="0">
                  <c:v>False Phase 1: Cost of Driving Alone Round-Trip @ 23¢/mile, the Authority's metric for fully-loaded auto costs</c:v>
                </c:pt>
              </c:strCache>
            </c:strRef>
          </c:tx>
          <c:spPr>
            <a:pattFill prst="pct20">
              <a:fgClr>
                <a:schemeClr val="accent1">
                  <a:lumMod val="60000"/>
                  <a:lumOff val="40000"/>
                </a:schemeClr>
              </a:fgClr>
              <a:bgClr>
                <a:srgbClr val="000090"/>
              </a:bgClr>
            </a:pattFill>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Travel'!$P$67:$P$72</c:f>
              <c:strCache>
                <c:ptCount val="6"/>
                <c:pt idx="0">
                  <c:v>San Jose-Gilroy/                 30miles</c:v>
                </c:pt>
                <c:pt idx="1">
                  <c:v>Millbrae-San Jose/                                    33miles</c:v>
                </c:pt>
                <c:pt idx="2">
                  <c:v>Burbank (BUR)-Anaheim/                             33miles</c:v>
                </c:pt>
                <c:pt idx="3">
                  <c:v>Fresno-KT Hanford/                               44miles</c:v>
                </c:pt>
                <c:pt idx="4">
                  <c:v>San Francisco-San Jose/                       48miles</c:v>
                </c:pt>
                <c:pt idx="5">
                  <c:v>Burbank-Palmdale/           51miles </c:v>
                </c:pt>
              </c:strCache>
            </c:strRef>
          </c:cat>
          <c:val>
            <c:numRef>
              <c:f>'RT Intra-Regional Travel'!$Q$67:$Q$72</c:f>
              <c:numCache>
                <c:formatCode>"$"#,##0</c:formatCode>
                <c:ptCount val="6"/>
                <c:pt idx="0">
                  <c:v>14.72</c:v>
                </c:pt>
                <c:pt idx="1">
                  <c:v>16.560000000000002</c:v>
                </c:pt>
                <c:pt idx="2">
                  <c:v>28.52</c:v>
                </c:pt>
                <c:pt idx="3">
                  <c:v>15.180000000000001</c:v>
                </c:pt>
                <c:pt idx="4">
                  <c:v>22.080000000000002</c:v>
                </c:pt>
                <c:pt idx="5">
                  <c:v>23</c:v>
                </c:pt>
              </c:numCache>
            </c:numRef>
          </c:val>
          <c:extLst>
            <c:ext xmlns:c16="http://schemas.microsoft.com/office/drawing/2014/chart" uri="{C3380CC4-5D6E-409C-BE32-E72D297353CC}">
              <c16:uniqueId val="{00000000-C15F-B144-9DB6-D1AA34386A4B}"/>
            </c:ext>
          </c:extLst>
        </c:ser>
        <c:ser>
          <c:idx val="1"/>
          <c:order val="1"/>
          <c:tx>
            <c:strRef>
              <c:f>'RT Intra-Regional Travel'!$R$60:$R$66</c:f>
              <c:strCache>
                <c:ptCount val="7"/>
                <c:pt idx="0">
                  <c:v>False Phase 1: Per person cost of intra-regional round-trip fares using HSR; bassed on Figure 2.2 fares</c:v>
                </c:pt>
              </c:strCache>
            </c:strRef>
          </c:tx>
          <c:spPr>
            <a:pattFill prst="dkUpDiag">
              <a:fgClr>
                <a:srgbClr val="FF0000"/>
              </a:fgClr>
              <a:bgClr>
                <a:schemeClr val="bg1"/>
              </a:bgClr>
            </a:pattFill>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Travel'!$P$67:$P$72</c:f>
              <c:strCache>
                <c:ptCount val="6"/>
                <c:pt idx="0">
                  <c:v>San Jose-Gilroy/                 30miles</c:v>
                </c:pt>
                <c:pt idx="1">
                  <c:v>Millbrae-San Jose/                                    33miles</c:v>
                </c:pt>
                <c:pt idx="2">
                  <c:v>Burbank (BUR)-Anaheim/                             33miles</c:v>
                </c:pt>
                <c:pt idx="3">
                  <c:v>Fresno-KT Hanford/                               44miles</c:v>
                </c:pt>
                <c:pt idx="4">
                  <c:v>San Francisco-San Jose/                       48miles</c:v>
                </c:pt>
                <c:pt idx="5">
                  <c:v>Burbank-Palmdale/           51miles </c:v>
                </c:pt>
              </c:strCache>
            </c:strRef>
          </c:cat>
          <c:val>
            <c:numRef>
              <c:f>'RT Intra-Regional Travel'!$R$67:$R$72</c:f>
              <c:numCache>
                <c:formatCode>"$"#,##0</c:formatCode>
                <c:ptCount val="6"/>
                <c:pt idx="0">
                  <c:v>63</c:v>
                </c:pt>
                <c:pt idx="1">
                  <c:v>65</c:v>
                </c:pt>
                <c:pt idx="2">
                  <c:v>91</c:v>
                </c:pt>
                <c:pt idx="3">
                  <c:v>107</c:v>
                </c:pt>
                <c:pt idx="4">
                  <c:v>71</c:v>
                </c:pt>
                <c:pt idx="5">
                  <c:v>91</c:v>
                </c:pt>
              </c:numCache>
            </c:numRef>
          </c:val>
          <c:extLst>
            <c:ext xmlns:c16="http://schemas.microsoft.com/office/drawing/2014/chart" uri="{C3380CC4-5D6E-409C-BE32-E72D297353CC}">
              <c16:uniqueId val="{00000001-C15F-B144-9DB6-D1AA34386A4B}"/>
            </c:ext>
          </c:extLst>
        </c:ser>
        <c:ser>
          <c:idx val="2"/>
          <c:order val="2"/>
          <c:tx>
            <c:strRef>
              <c:f>'RT Intra-Regional Travel'!$S$60:$S$66</c:f>
              <c:strCache>
                <c:ptCount val="7"/>
                <c:pt idx="0">
                  <c:v>False Phase 1: Per person fares for intra-regional round-trip by Caltrain, Metrolink or Amtrak (2017 $$s)</c:v>
                </c:pt>
              </c:strCache>
            </c:strRef>
          </c:tx>
          <c:spPr>
            <a:pattFill prst="pct40">
              <a:fgClr>
                <a:schemeClr val="bg1"/>
              </a:fgClr>
              <a:bgClr>
                <a:srgbClr val="660066"/>
              </a:bgClr>
            </a:pattFill>
          </c:spPr>
          <c:invertIfNegative val="0"/>
          <c:dLbls>
            <c:spPr>
              <a:noFill/>
              <a:ln w="25400">
                <a:noFill/>
              </a:ln>
            </c:spPr>
            <c:txPr>
              <a:bodyPr/>
              <a:lstStyle/>
              <a:p>
                <a:pPr>
                  <a:defRPr sz="600" b="1" i="0">
                    <a:solidFill>
                      <a:srgbClr val="660066"/>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Travel'!$P$67:$P$72</c:f>
              <c:strCache>
                <c:ptCount val="6"/>
                <c:pt idx="0">
                  <c:v>San Jose-Gilroy/                 30miles</c:v>
                </c:pt>
                <c:pt idx="1">
                  <c:v>Millbrae-San Jose/                                    33miles</c:v>
                </c:pt>
                <c:pt idx="2">
                  <c:v>Burbank (BUR)-Anaheim/                             33miles</c:v>
                </c:pt>
                <c:pt idx="3">
                  <c:v>Fresno-KT Hanford/                               44miles</c:v>
                </c:pt>
                <c:pt idx="4">
                  <c:v>San Francisco-San Jose/                       48miles</c:v>
                </c:pt>
                <c:pt idx="5">
                  <c:v>Burbank-Palmdale/           51miles </c:v>
                </c:pt>
              </c:strCache>
            </c:strRef>
          </c:cat>
          <c:val>
            <c:numRef>
              <c:f>'RT Intra-Regional Travel'!$S$67:$S$72</c:f>
              <c:numCache>
                <c:formatCode>"$"#,##0</c:formatCode>
                <c:ptCount val="6"/>
                <c:pt idx="0">
                  <c:v>38.5</c:v>
                </c:pt>
                <c:pt idx="1">
                  <c:v>38.5</c:v>
                </c:pt>
                <c:pt idx="2">
                  <c:v>21.5</c:v>
                </c:pt>
                <c:pt idx="3">
                  <c:v>10</c:v>
                </c:pt>
                <c:pt idx="4">
                  <c:v>19.5</c:v>
                </c:pt>
                <c:pt idx="5">
                  <c:v>25</c:v>
                </c:pt>
              </c:numCache>
            </c:numRef>
          </c:val>
          <c:extLst>
            <c:ext xmlns:c16="http://schemas.microsoft.com/office/drawing/2014/chart" uri="{C3380CC4-5D6E-409C-BE32-E72D297353CC}">
              <c16:uniqueId val="{00000002-C15F-B144-9DB6-D1AA34386A4B}"/>
            </c:ext>
          </c:extLst>
        </c:ser>
        <c:ser>
          <c:idx val="3"/>
          <c:order val="3"/>
          <c:tx>
            <c:strRef>
              <c:f>'RT Intra-Regional Travel'!$T$60:$T$66</c:f>
              <c:strCache>
                <c:ptCount val="7"/>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c:spPr>
          <c:invertIfNegative val="0"/>
          <c:dLbls>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Travel'!$P$67:$P$72</c:f>
              <c:strCache>
                <c:ptCount val="6"/>
                <c:pt idx="0">
                  <c:v>San Jose-Gilroy/                 30miles</c:v>
                </c:pt>
                <c:pt idx="1">
                  <c:v>Millbrae-San Jose/                                    33miles</c:v>
                </c:pt>
                <c:pt idx="2">
                  <c:v>Burbank (BUR)-Anaheim/                             33miles</c:v>
                </c:pt>
                <c:pt idx="3">
                  <c:v>Fresno-KT Hanford/                               44miles</c:v>
                </c:pt>
                <c:pt idx="4">
                  <c:v>San Francisco-San Jose/                       48miles</c:v>
                </c:pt>
                <c:pt idx="5">
                  <c:v>Burbank-Palmdale/           51miles </c:v>
                </c:pt>
              </c:strCache>
            </c:strRef>
          </c:cat>
          <c:val>
            <c:numRef>
              <c:f>'RT Intra-Regional Travel'!$T$67:$T$72</c:f>
              <c:numCache>
                <c:formatCode>0</c:formatCode>
                <c:ptCount val="6"/>
                <c:pt idx="0">
                  <c:v>116.9</c:v>
                </c:pt>
                <c:pt idx="1">
                  <c:v>113.7</c:v>
                </c:pt>
                <c:pt idx="2">
                  <c:v>97.9</c:v>
                </c:pt>
                <c:pt idx="3">
                  <c:v>87.7</c:v>
                </c:pt>
                <c:pt idx="4">
                  <c:v>97.4</c:v>
                </c:pt>
                <c:pt idx="5">
                  <c:v>71.900000000000006</c:v>
                </c:pt>
              </c:numCache>
            </c:numRef>
          </c:val>
          <c:extLst>
            <c:ext xmlns:c16="http://schemas.microsoft.com/office/drawing/2014/chart" uri="{C3380CC4-5D6E-409C-BE32-E72D297353CC}">
              <c16:uniqueId val="{00000003-C15F-B144-9DB6-D1AA34386A4B}"/>
            </c:ext>
          </c:extLst>
        </c:ser>
        <c:dLbls>
          <c:showLegendKey val="0"/>
          <c:showVal val="0"/>
          <c:showCatName val="0"/>
          <c:showSerName val="0"/>
          <c:showPercent val="0"/>
          <c:showBubbleSize val="0"/>
        </c:dLbls>
        <c:gapWidth val="60"/>
        <c:axId val="-2127145352"/>
        <c:axId val="-2127135352"/>
      </c:barChart>
      <c:catAx>
        <c:axId val="-2127145352"/>
        <c:scaling>
          <c:orientation val="minMax"/>
        </c:scaling>
        <c:delete val="0"/>
        <c:axPos val="b"/>
        <c:numFmt formatCode="General" sourceLinked="0"/>
        <c:majorTickMark val="out"/>
        <c:minorTickMark val="none"/>
        <c:tickLblPos val="low"/>
        <c:txPr>
          <a:bodyPr/>
          <a:lstStyle/>
          <a:p>
            <a:pPr>
              <a:defRPr sz="600" b="1" i="0"/>
            </a:pPr>
            <a:endParaRPr lang="en-US"/>
          </a:p>
        </c:txPr>
        <c:crossAx val="-2127135352"/>
        <c:crosses val="autoZero"/>
        <c:auto val="1"/>
        <c:lblAlgn val="ctr"/>
        <c:lblOffset val="100"/>
        <c:noMultiLvlLbl val="0"/>
      </c:catAx>
      <c:valAx>
        <c:axId val="-2127135352"/>
        <c:scaling>
          <c:orientation val="minMax"/>
          <c:max val="175"/>
          <c:min val="-5"/>
        </c:scaling>
        <c:delete val="0"/>
        <c:axPos val="l"/>
        <c:majorGridlines>
          <c:spPr>
            <a:ln w="12700" cmpd="sng">
              <a:prstDash val="sysDot"/>
            </a:ln>
          </c:spPr>
        </c:majorGridlines>
        <c:numFmt formatCode="&quot;$&quot;#,##0" sourceLinked="1"/>
        <c:majorTickMark val="out"/>
        <c:minorTickMark val="none"/>
        <c:tickLblPos val="nextTo"/>
        <c:txPr>
          <a:bodyPr/>
          <a:lstStyle/>
          <a:p>
            <a:pPr>
              <a:defRPr sz="500">
                <a:solidFill>
                  <a:srgbClr val="FF0000"/>
                </a:solidFill>
              </a:defRPr>
            </a:pPr>
            <a:endParaRPr lang="en-US"/>
          </a:p>
        </c:txPr>
        <c:crossAx val="-2127145352"/>
        <c:crosses val="autoZero"/>
        <c:crossBetween val="between"/>
      </c:valAx>
      <c:spPr>
        <a:noFill/>
        <a:ln w="25400">
          <a:noFill/>
        </a:ln>
      </c:spPr>
    </c:plotArea>
    <c:legend>
      <c:legendPos val="t"/>
      <c:layout>
        <c:manualLayout>
          <c:xMode val="edge"/>
          <c:yMode val="edge"/>
          <c:x val="1.3011866474437175E-3"/>
          <c:y val="1.0721122087833004E-2"/>
          <c:w val="0.69317209714982819"/>
          <c:h val="0.1702163851668633"/>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2" r="0.75000000000000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402387741158303E-2"/>
          <c:y val="4.0571686132557003E-2"/>
          <c:w val="0.95559761225884199"/>
          <c:h val="0.93816288384822899"/>
        </c:manualLayout>
      </c:layout>
      <c:barChart>
        <c:barDir val="col"/>
        <c:grouping val="clustered"/>
        <c:varyColors val="0"/>
        <c:ser>
          <c:idx val="0"/>
          <c:order val="0"/>
          <c:tx>
            <c:strRef>
              <c:f>'RT Travel Adjacent Regions'!$AR$133</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009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Regions'!$AQ$134:$AQ$139</c:f>
              <c:strCache>
                <c:ptCount val="6"/>
                <c:pt idx="0">
                  <c:v>Palmdale-Bakersfield/                                                   103miles</c:v>
                </c:pt>
                <c:pt idx="1">
                  <c:v>Burbank (BUR)-Bakersfield/                                       154miles</c:v>
                </c:pt>
                <c:pt idx="2">
                  <c:v>KT Hanford-Palmdale/                                                 166miles</c:v>
                </c:pt>
                <c:pt idx="3">
                  <c:v>Fresno-Sacramento/                         172miles</c:v>
                </c:pt>
                <c:pt idx="4">
                  <c:v>Merced-Gilroy/                                               180miles</c:v>
                </c:pt>
                <c:pt idx="5">
                  <c:v>Bakersfield-Anaheim/                                             187miles</c:v>
                </c:pt>
              </c:strCache>
            </c:strRef>
          </c:cat>
          <c:val>
            <c:numRef>
              <c:f>'RT Travel Adjacent Regions'!$AR$134:$AR$139</c:f>
              <c:numCache>
                <c:formatCode>"$"#,##0</c:formatCode>
                <c:ptCount val="6"/>
                <c:pt idx="0">
                  <c:v>46.92</c:v>
                </c:pt>
                <c:pt idx="1">
                  <c:v>46.46</c:v>
                </c:pt>
                <c:pt idx="2">
                  <c:v>83.72</c:v>
                </c:pt>
                <c:pt idx="3">
                  <c:v>79.12</c:v>
                </c:pt>
                <c:pt idx="4">
                  <c:v>38.64</c:v>
                </c:pt>
                <c:pt idx="5">
                  <c:v>72.22</c:v>
                </c:pt>
              </c:numCache>
            </c:numRef>
          </c:val>
          <c:extLst>
            <c:ext xmlns:c16="http://schemas.microsoft.com/office/drawing/2014/chart" uri="{C3380CC4-5D6E-409C-BE32-E72D297353CC}">
              <c16:uniqueId val="{00000000-E12E-2445-A6DD-CDB86E6B0C98}"/>
            </c:ext>
          </c:extLst>
        </c:ser>
        <c:ser>
          <c:idx val="1"/>
          <c:order val="1"/>
          <c:tx>
            <c:strRef>
              <c:f>'RT Travel Adjacent Regions'!$AS$133</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Regions'!$AQ$134:$AQ$139</c:f>
              <c:strCache>
                <c:ptCount val="6"/>
                <c:pt idx="0">
                  <c:v>Palmdale-Bakersfield/                                                   103miles</c:v>
                </c:pt>
                <c:pt idx="1">
                  <c:v>Burbank (BUR)-Bakersfield/                                       154miles</c:v>
                </c:pt>
                <c:pt idx="2">
                  <c:v>KT Hanford-Palmdale/                                                 166miles</c:v>
                </c:pt>
                <c:pt idx="3">
                  <c:v>Fresno-Sacramento/                         172miles</c:v>
                </c:pt>
                <c:pt idx="4">
                  <c:v>Merced-Gilroy/                                               180miles</c:v>
                </c:pt>
                <c:pt idx="5">
                  <c:v>Bakersfield-Anaheim/                                             187miles</c:v>
                </c:pt>
              </c:strCache>
            </c:strRef>
          </c:cat>
          <c:val>
            <c:numRef>
              <c:f>'RT Travel Adjacent Regions'!$AS$134:$AS$139</c:f>
              <c:numCache>
                <c:formatCode>"$"#,##0</c:formatCode>
                <c:ptCount val="6"/>
                <c:pt idx="0">
                  <c:v>131</c:v>
                </c:pt>
                <c:pt idx="1">
                  <c:v>133</c:v>
                </c:pt>
                <c:pt idx="2">
                  <c:v>163</c:v>
                </c:pt>
                <c:pt idx="3">
                  <c:v>137</c:v>
                </c:pt>
                <c:pt idx="4">
                  <c:v>133</c:v>
                </c:pt>
                <c:pt idx="5">
                  <c:v>149</c:v>
                </c:pt>
              </c:numCache>
            </c:numRef>
          </c:val>
          <c:extLst>
            <c:ext xmlns:c16="http://schemas.microsoft.com/office/drawing/2014/chart" uri="{C3380CC4-5D6E-409C-BE32-E72D297353CC}">
              <c16:uniqueId val="{00000001-E12E-2445-A6DD-CDB86E6B0C98}"/>
            </c:ext>
          </c:extLst>
        </c:ser>
        <c:ser>
          <c:idx val="2"/>
          <c:order val="2"/>
          <c:tx>
            <c:strRef>
              <c:f>'RT Travel Adjacent Regions'!$AT$133</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Regions'!$AQ$134:$AQ$139</c:f>
              <c:strCache>
                <c:ptCount val="6"/>
                <c:pt idx="0">
                  <c:v>Palmdale-Bakersfield/                                                   103miles</c:v>
                </c:pt>
                <c:pt idx="1">
                  <c:v>Burbank (BUR)-Bakersfield/                                       154miles</c:v>
                </c:pt>
                <c:pt idx="2">
                  <c:v>KT Hanford-Palmdale/                                                 166miles</c:v>
                </c:pt>
                <c:pt idx="3">
                  <c:v>Fresno-Sacramento/                         172miles</c:v>
                </c:pt>
                <c:pt idx="4">
                  <c:v>Merced-Gilroy/                                               180miles</c:v>
                </c:pt>
                <c:pt idx="5">
                  <c:v>Bakersfield-Anaheim/                                             187miles</c:v>
                </c:pt>
              </c:strCache>
            </c:strRef>
          </c:cat>
          <c:val>
            <c:numRef>
              <c:f>'RT Travel Adjacent Regions'!$AT$134:$AT$139</c:f>
              <c:numCache>
                <c:formatCode>"$"#,##0</c:formatCode>
                <c:ptCount val="6"/>
                <c:pt idx="0">
                  <c:v>960</c:v>
                </c:pt>
                <c:pt idx="1">
                  <c:v>944</c:v>
                </c:pt>
                <c:pt idx="2">
                  <c:v>442</c:v>
                </c:pt>
                <c:pt idx="3">
                  <c:v>533</c:v>
                </c:pt>
                <c:pt idx="4">
                  <c:v>519</c:v>
                </c:pt>
                <c:pt idx="5">
                  <c:v>944</c:v>
                </c:pt>
              </c:numCache>
            </c:numRef>
          </c:val>
          <c:extLst>
            <c:ext xmlns:c16="http://schemas.microsoft.com/office/drawing/2014/chart" uri="{C3380CC4-5D6E-409C-BE32-E72D297353CC}">
              <c16:uniqueId val="{00000002-E12E-2445-A6DD-CDB86E6B0C98}"/>
            </c:ext>
          </c:extLst>
        </c:ser>
        <c:ser>
          <c:idx val="3"/>
          <c:order val="3"/>
          <c:tx>
            <c:strRef>
              <c:f>'RT Travel Adjacent Regions'!$AU$133</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Regions'!$AQ$134:$AQ$139</c:f>
              <c:strCache>
                <c:ptCount val="6"/>
                <c:pt idx="0">
                  <c:v>Palmdale-Bakersfield/                                                   103miles</c:v>
                </c:pt>
                <c:pt idx="1">
                  <c:v>Burbank (BUR)-Bakersfield/                                       154miles</c:v>
                </c:pt>
                <c:pt idx="2">
                  <c:v>KT Hanford-Palmdale/                                                 166miles</c:v>
                </c:pt>
                <c:pt idx="3">
                  <c:v>Fresno-Sacramento/                         172miles</c:v>
                </c:pt>
                <c:pt idx="4">
                  <c:v>Merced-Gilroy/                                               180miles</c:v>
                </c:pt>
                <c:pt idx="5">
                  <c:v>Bakersfield-Anaheim/                                             187miles</c:v>
                </c:pt>
              </c:strCache>
            </c:strRef>
          </c:cat>
          <c:val>
            <c:numRef>
              <c:f>'RT Travel Adjacent Regions'!$AU$134:$AU$139</c:f>
              <c:numCache>
                <c:formatCode>#,##0</c:formatCode>
                <c:ptCount val="6"/>
                <c:pt idx="0">
                  <c:v>31.400000000000006</c:v>
                </c:pt>
                <c:pt idx="1">
                  <c:v>53.200000000000017</c:v>
                </c:pt>
                <c:pt idx="2">
                  <c:v>-65.799999999999955</c:v>
                </c:pt>
                <c:pt idx="3">
                  <c:v>331.20000000000005</c:v>
                </c:pt>
                <c:pt idx="4">
                  <c:v>18.700000000000017</c:v>
                </c:pt>
                <c:pt idx="5">
                  <c:v>13.300000000000011</c:v>
                </c:pt>
              </c:numCache>
            </c:numRef>
          </c:val>
          <c:extLst>
            <c:ext xmlns:c16="http://schemas.microsoft.com/office/drawing/2014/chart" uri="{C3380CC4-5D6E-409C-BE32-E72D297353CC}">
              <c16:uniqueId val="{00000003-E12E-2445-A6DD-CDB86E6B0C98}"/>
            </c:ext>
          </c:extLst>
        </c:ser>
        <c:ser>
          <c:idx val="4"/>
          <c:order val="4"/>
          <c:tx>
            <c:strRef>
              <c:f>'RT Travel Adjacent Regions'!$AV$133</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Regions'!$AQ$134:$AQ$139</c:f>
              <c:strCache>
                <c:ptCount val="6"/>
                <c:pt idx="0">
                  <c:v>Palmdale-Bakersfield/                                                   103miles</c:v>
                </c:pt>
                <c:pt idx="1">
                  <c:v>Burbank (BUR)-Bakersfield/                                       154miles</c:v>
                </c:pt>
                <c:pt idx="2">
                  <c:v>KT Hanford-Palmdale/                                                 166miles</c:v>
                </c:pt>
                <c:pt idx="3">
                  <c:v>Fresno-Sacramento/                         172miles</c:v>
                </c:pt>
                <c:pt idx="4">
                  <c:v>Merced-Gilroy/                                               180miles</c:v>
                </c:pt>
                <c:pt idx="5">
                  <c:v>Bakersfield-Anaheim/                                             187miles</c:v>
                </c:pt>
              </c:strCache>
            </c:strRef>
          </c:cat>
          <c:val>
            <c:numRef>
              <c:f>'RT Travel Adjacent Regions'!$AV$134:$AV$139</c:f>
              <c:numCache>
                <c:formatCode>#,##0</c:formatCode>
                <c:ptCount val="6"/>
                <c:pt idx="0">
                  <c:v>-492</c:v>
                </c:pt>
                <c:pt idx="1">
                  <c:v>-438</c:v>
                </c:pt>
                <c:pt idx="2">
                  <c:v>-64</c:v>
                </c:pt>
                <c:pt idx="3">
                  <c:v>18</c:v>
                </c:pt>
                <c:pt idx="4">
                  <c:v>-514</c:v>
                </c:pt>
                <c:pt idx="5">
                  <c:v>-310</c:v>
                </c:pt>
              </c:numCache>
            </c:numRef>
          </c:val>
          <c:extLst>
            <c:ext xmlns:c16="http://schemas.microsoft.com/office/drawing/2014/chart" uri="{C3380CC4-5D6E-409C-BE32-E72D297353CC}">
              <c16:uniqueId val="{00000004-E12E-2445-A6DD-CDB86E6B0C98}"/>
            </c:ext>
          </c:extLst>
        </c:ser>
        <c:dLbls>
          <c:showLegendKey val="0"/>
          <c:showVal val="0"/>
          <c:showCatName val="0"/>
          <c:showSerName val="0"/>
          <c:showPercent val="0"/>
          <c:showBubbleSize val="0"/>
        </c:dLbls>
        <c:gapWidth val="50"/>
        <c:axId val="-2145129512"/>
        <c:axId val="-2145126072"/>
      </c:barChart>
      <c:catAx>
        <c:axId val="-21451295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45126072"/>
        <c:crosses val="autoZero"/>
        <c:auto val="1"/>
        <c:lblAlgn val="ctr"/>
        <c:lblOffset val="100"/>
        <c:noMultiLvlLbl val="0"/>
      </c:catAx>
      <c:valAx>
        <c:axId val="-2145126072"/>
        <c:scaling>
          <c:orientation val="minMax"/>
          <c:max val="1750"/>
          <c:min val="-55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45129512"/>
        <c:crosses val="autoZero"/>
        <c:crossBetween val="between"/>
      </c:valAx>
      <c:spPr>
        <a:noFill/>
        <a:ln>
          <a:noFill/>
        </a:ln>
        <a:effectLst/>
      </c:spPr>
    </c:plotArea>
    <c:legend>
      <c:legendPos val="b"/>
      <c:layout>
        <c:manualLayout>
          <c:xMode val="edge"/>
          <c:yMode val="edge"/>
          <c:x val="3.43433910904575E-4"/>
          <c:y val="6.6440829886371885E-2"/>
          <c:w val="0.88510072987974231"/>
          <c:h val="0.2517747821774116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710903519861169E-2"/>
          <c:y val="1.8575328975576854E-2"/>
          <c:w val="0.95828909648013882"/>
          <c:h val="0.93848641574374003"/>
        </c:manualLayout>
      </c:layout>
      <c:barChart>
        <c:barDir val="col"/>
        <c:grouping val="clustered"/>
        <c:varyColors val="0"/>
        <c:ser>
          <c:idx val="0"/>
          <c:order val="0"/>
          <c:tx>
            <c:strRef>
              <c:f>'RT Travel Adjacent Regions'!$AR$111</c:f>
              <c:strCache>
                <c:ptCount val="1"/>
                <c:pt idx="0">
                  <c:v>False Phase 1: Cost of Driving Alone Round-Trip @ 23¢/mile, the Authority's metric for fully-loaded auto costs</c:v>
                </c:pt>
              </c:strCache>
            </c:strRef>
          </c:tx>
          <c:spPr>
            <a:pattFill prst="pct25">
              <a:fgClr>
                <a:schemeClr val="accent1">
                  <a:lumMod val="60000"/>
                  <a:lumOff val="40000"/>
                </a:schemeClr>
              </a:fgClr>
              <a:bgClr>
                <a:srgbClr val="00206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206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Regions'!$AQ$112:$AQ$116</c:f>
              <c:strCache>
                <c:ptCount val="5"/>
                <c:pt idx="0">
                  <c:v>San Francisco-Merced/                                      202miles</c:v>
                </c:pt>
                <c:pt idx="1">
                  <c:v>San Francisco-Turlock/                                        230miles</c:v>
                </c:pt>
                <c:pt idx="2">
                  <c:v>San Jose-Stockton/                                         239miles</c:v>
                </c:pt>
                <c:pt idx="3">
                  <c:v>San Jose-Elk Grove/                                          244miles</c:v>
                </c:pt>
                <c:pt idx="4">
                  <c:v>San Francisco-Modesto/                                          245miles</c:v>
                </c:pt>
              </c:strCache>
            </c:strRef>
          </c:cat>
          <c:val>
            <c:numRef>
              <c:f>'RT Travel Adjacent Regions'!$AR$112:$AR$116</c:f>
              <c:numCache>
                <c:formatCode>"$"#,##0</c:formatCode>
                <c:ptCount val="5"/>
                <c:pt idx="0">
                  <c:v>59.800000000000004</c:v>
                </c:pt>
                <c:pt idx="1">
                  <c:v>48.300000000000004</c:v>
                </c:pt>
                <c:pt idx="2">
                  <c:v>37.260000000000005</c:v>
                </c:pt>
                <c:pt idx="3">
                  <c:v>53.36</c:v>
                </c:pt>
                <c:pt idx="4">
                  <c:v>42.78</c:v>
                </c:pt>
              </c:numCache>
            </c:numRef>
          </c:val>
          <c:extLst>
            <c:ext xmlns:c16="http://schemas.microsoft.com/office/drawing/2014/chart" uri="{C3380CC4-5D6E-409C-BE32-E72D297353CC}">
              <c16:uniqueId val="{00000000-7459-F843-834E-46F60F03A61F}"/>
            </c:ext>
          </c:extLst>
        </c:ser>
        <c:ser>
          <c:idx val="1"/>
          <c:order val="1"/>
          <c:tx>
            <c:strRef>
              <c:f>'RT Travel Adjacent Regions'!$AS$111</c:f>
              <c:strCache>
                <c:ptCount val="1"/>
                <c:pt idx="0">
                  <c:v>False Phase 1:    Per person cost of inter-regional round-trip by HSR Authority transport (+ supplemental) public transit</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Regions'!$AQ$112:$AQ$116</c:f>
              <c:strCache>
                <c:ptCount val="5"/>
                <c:pt idx="0">
                  <c:v>San Francisco-Merced/                                      202miles</c:v>
                </c:pt>
                <c:pt idx="1">
                  <c:v>San Francisco-Turlock/                                        230miles</c:v>
                </c:pt>
                <c:pt idx="2">
                  <c:v>San Jose-Stockton/                                         239miles</c:v>
                </c:pt>
                <c:pt idx="3">
                  <c:v>San Jose-Elk Grove/                                          244miles</c:v>
                </c:pt>
                <c:pt idx="4">
                  <c:v>San Francisco-Modesto/                                          245miles</c:v>
                </c:pt>
              </c:strCache>
            </c:strRef>
          </c:cat>
          <c:val>
            <c:numRef>
              <c:f>'RT Travel Adjacent Regions'!$AS$112:$AS$116</c:f>
              <c:numCache>
                <c:formatCode>"$"#,##0</c:formatCode>
                <c:ptCount val="5"/>
                <c:pt idx="0">
                  <c:v>165</c:v>
                </c:pt>
                <c:pt idx="1">
                  <c:v>165</c:v>
                </c:pt>
                <c:pt idx="2">
                  <c:v>149</c:v>
                </c:pt>
                <c:pt idx="3">
                  <c:v>149</c:v>
                </c:pt>
                <c:pt idx="4">
                  <c:v>165</c:v>
                </c:pt>
              </c:numCache>
            </c:numRef>
          </c:val>
          <c:extLst>
            <c:ext xmlns:c16="http://schemas.microsoft.com/office/drawing/2014/chart" uri="{C3380CC4-5D6E-409C-BE32-E72D297353CC}">
              <c16:uniqueId val="{00000001-7459-F843-834E-46F60F03A61F}"/>
            </c:ext>
          </c:extLst>
        </c:ser>
        <c:ser>
          <c:idx val="2"/>
          <c:order val="2"/>
          <c:tx>
            <c:strRef>
              <c:f>'RT Travel Adjacent Regions'!$AT$111</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Regions'!$AQ$112:$AQ$116</c:f>
              <c:strCache>
                <c:ptCount val="5"/>
                <c:pt idx="0">
                  <c:v>San Francisco-Merced/                                      202miles</c:v>
                </c:pt>
                <c:pt idx="1">
                  <c:v>San Francisco-Turlock/                                        230miles</c:v>
                </c:pt>
                <c:pt idx="2">
                  <c:v>San Jose-Stockton/                                         239miles</c:v>
                </c:pt>
                <c:pt idx="3">
                  <c:v>San Jose-Elk Grove/                                          244miles</c:v>
                </c:pt>
                <c:pt idx="4">
                  <c:v>San Francisco-Modesto/                                          245miles</c:v>
                </c:pt>
              </c:strCache>
            </c:strRef>
          </c:cat>
          <c:val>
            <c:numRef>
              <c:f>'RT Travel Adjacent Regions'!$AT$112:$AT$116</c:f>
              <c:numCache>
                <c:formatCode>"$"#,##0</c:formatCode>
                <c:ptCount val="5"/>
                <c:pt idx="0">
                  <c:v>577</c:v>
                </c:pt>
                <c:pt idx="1">
                  <c:v>243</c:v>
                </c:pt>
                <c:pt idx="2">
                  <c:v>346</c:v>
                </c:pt>
                <c:pt idx="3">
                  <c:v>346</c:v>
                </c:pt>
                <c:pt idx="4">
                  <c:v>243</c:v>
                </c:pt>
              </c:numCache>
            </c:numRef>
          </c:val>
          <c:extLst>
            <c:ext xmlns:c16="http://schemas.microsoft.com/office/drawing/2014/chart" uri="{C3380CC4-5D6E-409C-BE32-E72D297353CC}">
              <c16:uniqueId val="{00000002-7459-F843-834E-46F60F03A61F}"/>
            </c:ext>
          </c:extLst>
        </c:ser>
        <c:ser>
          <c:idx val="3"/>
          <c:order val="3"/>
          <c:tx>
            <c:strRef>
              <c:f>'RT Travel Adjacent Regions'!$AU$111</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Regions'!$AQ$112:$AQ$116</c:f>
              <c:strCache>
                <c:ptCount val="5"/>
                <c:pt idx="0">
                  <c:v>San Francisco-Merced/                                      202miles</c:v>
                </c:pt>
                <c:pt idx="1">
                  <c:v>San Francisco-Turlock/                                        230miles</c:v>
                </c:pt>
                <c:pt idx="2">
                  <c:v>San Jose-Stockton/                                         239miles</c:v>
                </c:pt>
                <c:pt idx="3">
                  <c:v>San Jose-Elk Grove/                                          244miles</c:v>
                </c:pt>
                <c:pt idx="4">
                  <c:v>San Francisco-Modesto/                                          245miles</c:v>
                </c:pt>
              </c:strCache>
            </c:strRef>
          </c:cat>
          <c:val>
            <c:numRef>
              <c:f>'RT Travel Adjacent Regions'!$AU$112:$AU$116</c:f>
              <c:numCache>
                <c:formatCode>#,##0</c:formatCode>
                <c:ptCount val="5"/>
                <c:pt idx="0">
                  <c:v>41</c:v>
                </c:pt>
                <c:pt idx="1">
                  <c:v>202.40000000000003</c:v>
                </c:pt>
                <c:pt idx="2">
                  <c:v>367.8</c:v>
                </c:pt>
                <c:pt idx="3">
                  <c:v>403.40000000000003</c:v>
                </c:pt>
                <c:pt idx="4">
                  <c:v>283.90000000000003</c:v>
                </c:pt>
              </c:numCache>
            </c:numRef>
          </c:val>
          <c:extLst>
            <c:ext xmlns:c16="http://schemas.microsoft.com/office/drawing/2014/chart" uri="{C3380CC4-5D6E-409C-BE32-E72D297353CC}">
              <c16:uniqueId val="{00000003-7459-F843-834E-46F60F03A61F}"/>
            </c:ext>
          </c:extLst>
        </c:ser>
        <c:ser>
          <c:idx val="4"/>
          <c:order val="4"/>
          <c:tx>
            <c:strRef>
              <c:f>'RT Travel Adjacent Regions'!$AV$111</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Regions'!$AQ$112:$AQ$116</c:f>
              <c:strCache>
                <c:ptCount val="5"/>
                <c:pt idx="0">
                  <c:v>San Francisco-Merced/                                      202miles</c:v>
                </c:pt>
                <c:pt idx="1">
                  <c:v>San Francisco-Turlock/                                        230miles</c:v>
                </c:pt>
                <c:pt idx="2">
                  <c:v>San Jose-Stockton/                                         239miles</c:v>
                </c:pt>
                <c:pt idx="3">
                  <c:v>San Jose-Elk Grove/                                          244miles</c:v>
                </c:pt>
                <c:pt idx="4">
                  <c:v>San Francisco-Modesto/                                          245miles</c:v>
                </c:pt>
              </c:strCache>
            </c:strRef>
          </c:cat>
          <c:val>
            <c:numRef>
              <c:f>'RT Travel Adjacent Regions'!$AV$112:$AV$116</c:f>
              <c:numCache>
                <c:formatCode>#,##0</c:formatCode>
                <c:ptCount val="5"/>
                <c:pt idx="0">
                  <c:v>34</c:v>
                </c:pt>
                <c:pt idx="1">
                  <c:v>168</c:v>
                </c:pt>
                <c:pt idx="2">
                  <c:v>-248</c:v>
                </c:pt>
                <c:pt idx="3">
                  <c:v>-148</c:v>
                </c:pt>
                <c:pt idx="4">
                  <c:v>238</c:v>
                </c:pt>
              </c:numCache>
            </c:numRef>
          </c:val>
          <c:extLst>
            <c:ext xmlns:c16="http://schemas.microsoft.com/office/drawing/2014/chart" uri="{C3380CC4-5D6E-409C-BE32-E72D297353CC}">
              <c16:uniqueId val="{00000004-7459-F843-834E-46F60F03A61F}"/>
            </c:ext>
          </c:extLst>
        </c:ser>
        <c:dLbls>
          <c:showLegendKey val="0"/>
          <c:showVal val="0"/>
          <c:showCatName val="0"/>
          <c:showSerName val="0"/>
          <c:showPercent val="0"/>
          <c:showBubbleSize val="0"/>
        </c:dLbls>
        <c:gapWidth val="50"/>
        <c:axId val="1110827200"/>
        <c:axId val="1110828880"/>
      </c:barChart>
      <c:catAx>
        <c:axId val="11108272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solidFill>
                <a:latin typeface="+mn-lt"/>
                <a:ea typeface="+mn-ea"/>
                <a:cs typeface="+mn-cs"/>
              </a:defRPr>
            </a:pPr>
            <a:endParaRPr lang="en-US"/>
          </a:p>
        </c:txPr>
        <c:crossAx val="1110828880"/>
        <c:crosses val="autoZero"/>
        <c:auto val="1"/>
        <c:lblAlgn val="ctr"/>
        <c:lblOffset val="100"/>
        <c:noMultiLvlLbl val="0"/>
      </c:catAx>
      <c:valAx>
        <c:axId val="1110828880"/>
        <c:scaling>
          <c:orientation val="minMax"/>
          <c:max val="1250"/>
          <c:min val="-200"/>
        </c:scaling>
        <c:delete val="0"/>
        <c:axPos val="l"/>
        <c:majorGridlines>
          <c:spPr>
            <a:ln w="12700" cap="flat" cmpd="sng" algn="ctr">
              <a:solidFill>
                <a:schemeClr val="bg1">
                  <a:lumMod val="50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1110827200"/>
        <c:crosses val="autoZero"/>
        <c:crossBetween val="between"/>
      </c:valAx>
      <c:spPr>
        <a:noFill/>
        <a:ln>
          <a:noFill/>
        </a:ln>
        <a:effectLst/>
      </c:spPr>
    </c:plotArea>
    <c:legend>
      <c:legendPos val="t"/>
      <c:layout>
        <c:manualLayout>
          <c:xMode val="edge"/>
          <c:yMode val="edge"/>
          <c:x val="0"/>
          <c:y val="0.12519990741616832"/>
          <c:w val="0.94245380135668577"/>
          <c:h val="0.25278407183876606"/>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'RT Travel Non-Adjacent Regions'!$AR$7</c:f>
              <c:strCache>
                <c:ptCount val="1"/>
                <c:pt idx="0">
                  <c:v>False Phase 1: Cost of Driving Alone Round-Trip @ 23¢/mile, the Authority's metric for fully-loaded auto costs</c:v>
                </c:pt>
              </c:strCache>
            </c:strRef>
          </c:tx>
          <c:spPr>
            <a:pattFill prst="pct20">
              <a:fgClr>
                <a:schemeClr val="accent1">
                  <a:lumMod val="60000"/>
                  <a:lumOff val="40000"/>
                </a:schemeClr>
              </a:fgClr>
              <a:bgClr>
                <a:srgbClr val="000090"/>
              </a:bgClr>
            </a:pattFill>
            <a:ln>
              <a:noFill/>
            </a:ln>
          </c:spPr>
          <c:invertIfNegative val="0"/>
          <c:dLbls>
            <c:spPr>
              <a:noFill/>
              <a:ln w="25400">
                <a:noFill/>
              </a:ln>
            </c:spPr>
            <c:txPr>
              <a:bodyPr/>
              <a:lstStyle/>
              <a:p>
                <a:pPr>
                  <a:defRPr sz="7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Regions'!$AQ$21:$AQ$23</c:f>
              <c:strCache>
                <c:ptCount val="3"/>
                <c:pt idx="0">
                  <c:v>Los Angeles-San Jose/                              418miles</c:v>
                </c:pt>
                <c:pt idx="1">
                  <c:v>Los Angeles-San Francisco/                                          466miles</c:v>
                </c:pt>
                <c:pt idx="2">
                  <c:v>Long Beach-Oakland/                                                      503miles</c:v>
                </c:pt>
              </c:strCache>
            </c:strRef>
          </c:cat>
          <c:val>
            <c:numRef>
              <c:f>'RT Travel Non-Adjacent Regions'!$AS$21:$AS$23</c:f>
              <c:numCache>
                <c:formatCode>"$"#,##0</c:formatCode>
                <c:ptCount val="3"/>
                <c:pt idx="0">
                  <c:v>209</c:v>
                </c:pt>
                <c:pt idx="1">
                  <c:v>209</c:v>
                </c:pt>
                <c:pt idx="2">
                  <c:v>219.4</c:v>
                </c:pt>
              </c:numCache>
            </c:numRef>
          </c:val>
          <c:extLst>
            <c:ext xmlns:c16="http://schemas.microsoft.com/office/drawing/2014/chart" uri="{C3380CC4-5D6E-409C-BE32-E72D297353CC}">
              <c16:uniqueId val="{00000000-742E-8842-A424-317C922AB0C1}"/>
            </c:ext>
          </c:extLst>
        </c:ser>
        <c:ser>
          <c:idx val="1"/>
          <c:order val="1"/>
          <c:tx>
            <c:strRef>
              <c:f>'RT Travel Non-Adjacent Regions'!$AS$7</c:f>
              <c:strCache>
                <c:ptCount val="1"/>
                <c:pt idx="0">
                  <c:v>False Phase 1:  Per person cost of inter-regional round-trip using HSR; based on Table 2.2 fares</c:v>
                </c:pt>
              </c:strCache>
            </c:strRef>
          </c:tx>
          <c:spPr>
            <a:pattFill prst="wdDnDiag">
              <a:fgClr>
                <a:srgbClr val="FF0000"/>
              </a:fgClr>
              <a:bgClr>
                <a:schemeClr val="bg1"/>
              </a:bgClr>
            </a:pattFill>
            <a:ln>
              <a:noFill/>
            </a:ln>
          </c:spPr>
          <c:invertIfNegative val="0"/>
          <c:dLbls>
            <c:spPr>
              <a:noFill/>
              <a:ln w="25400">
                <a:noFill/>
              </a:ln>
            </c:spPr>
            <c:txPr>
              <a:bodyPr/>
              <a:lstStyle/>
              <a:p>
                <a:pPr>
                  <a:defRPr sz="600" b="1" i="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Regions'!$AQ$21:$AQ$23</c:f>
              <c:strCache>
                <c:ptCount val="3"/>
                <c:pt idx="0">
                  <c:v>Los Angeles-San Jose/                              418miles</c:v>
                </c:pt>
                <c:pt idx="1">
                  <c:v>Los Angeles-San Francisco/                                          466miles</c:v>
                </c:pt>
                <c:pt idx="2">
                  <c:v>Long Beach-Oakland/                                                      503miles</c:v>
                </c:pt>
              </c:strCache>
            </c:strRef>
          </c:cat>
          <c:val>
            <c:numRef>
              <c:f>'RT Travel Non-Adjacent Regions'!$AT$21:$AT$23</c:f>
              <c:numCache>
                <c:formatCode>"$"#,##0</c:formatCode>
                <c:ptCount val="3"/>
                <c:pt idx="0">
                  <c:v>144</c:v>
                </c:pt>
                <c:pt idx="1">
                  <c:v>112</c:v>
                </c:pt>
                <c:pt idx="2">
                  <c:v>145</c:v>
                </c:pt>
              </c:numCache>
            </c:numRef>
          </c:val>
          <c:extLst>
            <c:ext xmlns:c16="http://schemas.microsoft.com/office/drawing/2014/chart" uri="{C3380CC4-5D6E-409C-BE32-E72D297353CC}">
              <c16:uniqueId val="{00000001-742E-8842-A424-317C922AB0C1}"/>
            </c:ext>
          </c:extLst>
        </c:ser>
        <c:ser>
          <c:idx val="2"/>
          <c:order val="2"/>
          <c:tx>
            <c:strRef>
              <c:f>'RT Travel Non-Adjacent Regions'!$BE$7</c:f>
              <c:strCache>
                <c:ptCount val="1"/>
              </c:strCache>
            </c:strRef>
          </c:tx>
          <c:spPr>
            <a:pattFill prst="pct75">
              <a:fgClr>
                <a:srgbClr val="3366FF"/>
              </a:fgClr>
              <a:bgClr>
                <a:schemeClr val="bg1"/>
              </a:bgClr>
            </a:pattFill>
            <a:ln>
              <a:noFill/>
            </a:ln>
          </c:spPr>
          <c:invertIfNegative val="0"/>
          <c:dLbls>
            <c:spPr>
              <a:noFill/>
              <a:ln w="25400">
                <a:noFill/>
              </a:ln>
            </c:spPr>
            <c:txPr>
              <a:bodyPr/>
              <a:lstStyle/>
              <a:p>
                <a:pPr>
                  <a:defRPr sz="600" b="1" i="0">
                    <a:solidFill>
                      <a:srgbClr val="00009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Regions'!$AQ$21:$AQ$23</c:f>
              <c:strCache>
                <c:ptCount val="3"/>
                <c:pt idx="0">
                  <c:v>Los Angeles-San Jose/                              418miles</c:v>
                </c:pt>
                <c:pt idx="1">
                  <c:v>Los Angeles-San Francisco/                                          466miles</c:v>
                </c:pt>
                <c:pt idx="2">
                  <c:v>Long Beach-Oakland/                                                      503miles</c:v>
                </c:pt>
              </c:strCache>
            </c:strRef>
          </c:cat>
          <c:val>
            <c:numRef>
              <c:f>'RT Travel Non-Adjacent Regions'!$AR$21:$AR$23</c:f>
              <c:numCache>
                <c:formatCode>"$"#,##0</c:formatCode>
                <c:ptCount val="3"/>
                <c:pt idx="0">
                  <c:v>157.32</c:v>
                </c:pt>
                <c:pt idx="1">
                  <c:v>175.26000000000002</c:v>
                </c:pt>
                <c:pt idx="2">
                  <c:v>181.24</c:v>
                </c:pt>
              </c:numCache>
            </c:numRef>
          </c:val>
          <c:extLst>
            <c:ext xmlns:c16="http://schemas.microsoft.com/office/drawing/2014/chart" uri="{C3380CC4-5D6E-409C-BE32-E72D297353CC}">
              <c16:uniqueId val="{00000002-742E-8842-A424-317C922AB0C1}"/>
            </c:ext>
          </c:extLst>
        </c:ser>
        <c:ser>
          <c:idx val="3"/>
          <c:order val="3"/>
          <c:tx>
            <c:strRef>
              <c:f>'RT Travel Non-Adjacent Regions'!$AO$7</c:f>
              <c:strCache>
                <c:ptCount val="1"/>
                <c:pt idx="0">
                  <c:v>False Phase 1:  Total Travel Costs by Air vs. HSR's Total Travel Costs (negative number means HSR is cheaper than Air by $__)</c:v>
                </c:pt>
              </c:strCache>
            </c:strRef>
          </c:tx>
          <c:spPr>
            <a:pattFill prst="openDmnd">
              <a:fgClr>
                <a:schemeClr val="bg1"/>
              </a:fgClr>
              <a:bgClr>
                <a:srgbClr val="008000"/>
              </a:bgClr>
            </a:pattFill>
            <a:ln>
              <a:noFill/>
            </a:ln>
          </c:spPr>
          <c:invertIfNegative val="0"/>
          <c:dLbls>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Regions'!$AQ$21:$AQ$23</c:f>
              <c:strCache>
                <c:ptCount val="3"/>
                <c:pt idx="0">
                  <c:v>Los Angeles-San Jose/                              418miles</c:v>
                </c:pt>
                <c:pt idx="1">
                  <c:v>Los Angeles-San Francisco/                                          466miles</c:v>
                </c:pt>
                <c:pt idx="2">
                  <c:v>Long Beach-Oakland/                                                      503miles</c:v>
                </c:pt>
              </c:strCache>
            </c:strRef>
          </c:cat>
          <c:val>
            <c:numRef>
              <c:f>'RT Travel Non-Adjacent Regions'!$AO$21:$AO$23</c:f>
              <c:numCache>
                <c:formatCode>"$"#,##0</c:formatCode>
                <c:ptCount val="3"/>
                <c:pt idx="0">
                  <c:v>65</c:v>
                </c:pt>
                <c:pt idx="1">
                  <c:v>97</c:v>
                </c:pt>
                <c:pt idx="2">
                  <c:v>74.400000000000006</c:v>
                </c:pt>
              </c:numCache>
            </c:numRef>
          </c:val>
          <c:extLst>
            <c:ext xmlns:c16="http://schemas.microsoft.com/office/drawing/2014/chart" uri="{C3380CC4-5D6E-409C-BE32-E72D297353CC}">
              <c16:uniqueId val="{00000003-742E-8842-A424-317C922AB0C1}"/>
            </c:ext>
          </c:extLst>
        </c:ser>
        <c:dLbls>
          <c:showLegendKey val="0"/>
          <c:showVal val="0"/>
          <c:showCatName val="0"/>
          <c:showSerName val="0"/>
          <c:showPercent val="0"/>
          <c:showBubbleSize val="0"/>
        </c:dLbls>
        <c:gapWidth val="150"/>
        <c:axId val="-2129785224"/>
        <c:axId val="-2129782024"/>
      </c:barChart>
      <c:catAx>
        <c:axId val="-2129785224"/>
        <c:scaling>
          <c:orientation val="minMax"/>
        </c:scaling>
        <c:delete val="0"/>
        <c:axPos val="b"/>
        <c:numFmt formatCode="General" sourceLinked="1"/>
        <c:majorTickMark val="out"/>
        <c:minorTickMark val="none"/>
        <c:tickLblPos val="nextTo"/>
        <c:txPr>
          <a:bodyPr/>
          <a:lstStyle/>
          <a:p>
            <a:pPr>
              <a:defRPr sz="600" b="1" i="0"/>
            </a:pPr>
            <a:endParaRPr lang="en-US"/>
          </a:p>
        </c:txPr>
        <c:crossAx val="-2129782024"/>
        <c:crosses val="autoZero"/>
        <c:auto val="1"/>
        <c:lblAlgn val="ctr"/>
        <c:lblOffset val="100"/>
        <c:noMultiLvlLbl val="0"/>
      </c:catAx>
      <c:valAx>
        <c:axId val="-2129782024"/>
        <c:scaling>
          <c:orientation val="minMax"/>
          <c:max val="375"/>
          <c:min val="0"/>
        </c:scaling>
        <c:delete val="0"/>
        <c:axPos val="l"/>
        <c:majorGridlines>
          <c:spPr>
            <a:ln w="12700" cmpd="sng">
              <a:prstDash val="sysDot"/>
            </a:ln>
          </c:spPr>
        </c:majorGridlines>
        <c:numFmt formatCode="&quot;$&quot;#,##0" sourceLinked="1"/>
        <c:majorTickMark val="out"/>
        <c:minorTickMark val="none"/>
        <c:tickLblPos val="nextTo"/>
        <c:txPr>
          <a:bodyPr/>
          <a:lstStyle/>
          <a:p>
            <a:pPr>
              <a:defRPr sz="600"/>
            </a:pPr>
            <a:endParaRPr lang="en-US"/>
          </a:p>
        </c:txPr>
        <c:crossAx val="-2129785224"/>
        <c:crosses val="autoZero"/>
        <c:crossBetween val="between"/>
      </c:valAx>
      <c:spPr>
        <a:noFill/>
        <a:ln w="25400">
          <a:noFill/>
        </a:ln>
      </c:spPr>
    </c:plotArea>
    <c:legend>
      <c:legendPos val="r"/>
      <c:layout>
        <c:manualLayout>
          <c:xMode val="edge"/>
          <c:yMode val="edge"/>
          <c:x val="3.7500076294100501E-2"/>
          <c:y val="2.0348837209302299E-2"/>
          <c:w val="0.75625153859769401"/>
          <c:h val="0.212209302325581"/>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3" r="0.750000000000003"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'RT Travel Non-Adjacent Regions'!$AR$109</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Regions'!$AQ$110:$AQ$114</c:f>
              <c:strCache>
                <c:ptCount val="5"/>
                <c:pt idx="0">
                  <c:v>San Diego-Bakersfield/                                   283miles</c:v>
                </c:pt>
                <c:pt idx="1">
                  <c:v>San Diego-KT Hanford/                                          322miles</c:v>
                </c:pt>
                <c:pt idx="2">
                  <c:v>San Diego-Madera/                           368miles</c:v>
                </c:pt>
                <c:pt idx="3">
                  <c:v>San Diego-Fresno/                                          390miles</c:v>
                </c:pt>
                <c:pt idx="4">
                  <c:v>San Diego-Merced/                                          446miles</c:v>
                </c:pt>
              </c:strCache>
            </c:strRef>
          </c:cat>
          <c:val>
            <c:numRef>
              <c:f>'RT Travel Non-Adjacent Regions'!$AR$110:$AR$114</c:f>
              <c:numCache>
                <c:formatCode>"$"#,##0</c:formatCode>
                <c:ptCount val="5"/>
                <c:pt idx="0">
                  <c:v>106.72</c:v>
                </c:pt>
                <c:pt idx="1">
                  <c:v>143.52000000000001</c:v>
                </c:pt>
                <c:pt idx="2">
                  <c:v>166.06</c:v>
                </c:pt>
                <c:pt idx="3">
                  <c:v>154.1</c:v>
                </c:pt>
                <c:pt idx="4">
                  <c:v>179.4</c:v>
                </c:pt>
              </c:numCache>
            </c:numRef>
          </c:val>
          <c:extLst>
            <c:ext xmlns:c16="http://schemas.microsoft.com/office/drawing/2014/chart" uri="{C3380CC4-5D6E-409C-BE32-E72D297353CC}">
              <c16:uniqueId val="{00000001-92F0-FC44-B605-851BF8273BC6}"/>
            </c:ext>
          </c:extLst>
        </c:ser>
        <c:ser>
          <c:idx val="1"/>
          <c:order val="1"/>
          <c:tx>
            <c:strRef>
              <c:f>'RT Travel Non-Adjacent Regions'!$AS$109</c:f>
              <c:strCache>
                <c:ptCount val="1"/>
                <c:pt idx="0">
                  <c:v>False Phase 1:  Per person cost of inter-regional round-trip using HSR; based on Table 2.2 fares</c:v>
                </c:pt>
              </c:strCache>
            </c:strRef>
          </c:tx>
          <c:spPr>
            <a:pattFill prst="dkUpDiag">
              <a:fgClr>
                <a:srgbClr val="FF0000"/>
              </a:fgClr>
              <a:bgClr>
                <a:schemeClr val="bg1"/>
              </a:bgClr>
            </a:pattFill>
            <a:ln>
              <a:noFill/>
            </a:ln>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Regions'!$AQ$110:$AQ$114</c:f>
              <c:strCache>
                <c:ptCount val="5"/>
                <c:pt idx="0">
                  <c:v>San Diego-Bakersfield/                                   283miles</c:v>
                </c:pt>
                <c:pt idx="1">
                  <c:v>San Diego-KT Hanford/                                          322miles</c:v>
                </c:pt>
                <c:pt idx="2">
                  <c:v>San Diego-Madera/                           368miles</c:v>
                </c:pt>
                <c:pt idx="3">
                  <c:v>San Diego-Fresno/                                          390miles</c:v>
                </c:pt>
                <c:pt idx="4">
                  <c:v>San Diego-Merced/                                          446miles</c:v>
                </c:pt>
              </c:strCache>
            </c:strRef>
          </c:cat>
          <c:val>
            <c:numRef>
              <c:f>'RT Travel Non-Adjacent Regions'!$AS$110:$AS$114</c:f>
              <c:numCache>
                <c:formatCode>"$"#,##0</c:formatCode>
                <c:ptCount val="5"/>
                <c:pt idx="0">
                  <c:v>212.3</c:v>
                </c:pt>
                <c:pt idx="1">
                  <c:v>250.3</c:v>
                </c:pt>
                <c:pt idx="2">
                  <c:v>268.3</c:v>
                </c:pt>
                <c:pt idx="3">
                  <c:v>258.3</c:v>
                </c:pt>
                <c:pt idx="4">
                  <c:v>280.3</c:v>
                </c:pt>
              </c:numCache>
            </c:numRef>
          </c:val>
          <c:extLst>
            <c:ext xmlns:c16="http://schemas.microsoft.com/office/drawing/2014/chart" uri="{C3380CC4-5D6E-409C-BE32-E72D297353CC}">
              <c16:uniqueId val="{00000003-92F0-FC44-B605-851BF8273BC6}"/>
            </c:ext>
          </c:extLst>
        </c:ser>
        <c:ser>
          <c:idx val="2"/>
          <c:order val="2"/>
          <c:tx>
            <c:strRef>
              <c:f>'RT Travel Non-Adjacent Regions'!$AT$109</c:f>
              <c:strCache>
                <c:ptCount val="1"/>
                <c:pt idx="0">
                  <c:v>Round trip airfares + $23 for access+egress costs and Remote Access Costs if applicable</c:v>
                </c:pt>
              </c:strCache>
            </c:strRef>
          </c:tx>
          <c:spPr>
            <a:pattFill prst="pct75">
              <a:fgClr>
                <a:srgbClr val="3366FF"/>
              </a:fgClr>
              <a:bgClr>
                <a:schemeClr val="bg1"/>
              </a:bgClr>
            </a:pattFill>
            <a:ln>
              <a:noFill/>
            </a:ln>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Regions'!$AQ$110:$AQ$114</c:f>
              <c:strCache>
                <c:ptCount val="5"/>
                <c:pt idx="0">
                  <c:v>San Diego-Bakersfield/                                   283miles</c:v>
                </c:pt>
                <c:pt idx="1">
                  <c:v>San Diego-KT Hanford/                                          322miles</c:v>
                </c:pt>
                <c:pt idx="2">
                  <c:v>San Diego-Madera/                           368miles</c:v>
                </c:pt>
                <c:pt idx="3">
                  <c:v>San Diego-Fresno/                                          390miles</c:v>
                </c:pt>
                <c:pt idx="4">
                  <c:v>San Diego-Merced/                                          446miles</c:v>
                </c:pt>
              </c:strCache>
            </c:strRef>
          </c:cat>
          <c:val>
            <c:numRef>
              <c:f>'RT Travel Non-Adjacent Regions'!$AT$110:$AT$114</c:f>
              <c:numCache>
                <c:formatCode>"$"#,##0</c:formatCode>
                <c:ptCount val="5"/>
                <c:pt idx="0">
                  <c:v>675</c:v>
                </c:pt>
                <c:pt idx="1">
                  <c:v>236</c:v>
                </c:pt>
                <c:pt idx="2">
                  <c:v>236</c:v>
                </c:pt>
                <c:pt idx="3">
                  <c:v>221</c:v>
                </c:pt>
                <c:pt idx="4">
                  <c:v>252</c:v>
                </c:pt>
              </c:numCache>
            </c:numRef>
          </c:val>
          <c:extLst>
            <c:ext xmlns:c16="http://schemas.microsoft.com/office/drawing/2014/chart" uri="{C3380CC4-5D6E-409C-BE32-E72D297353CC}">
              <c16:uniqueId val="{00000004-92F0-FC44-B605-851BF8273BC6}"/>
            </c:ext>
          </c:extLst>
        </c:ser>
        <c:ser>
          <c:idx val="3"/>
          <c:order val="3"/>
          <c:tx>
            <c:strRef>
              <c:f>'RT Travel Non-Adjacent Regions'!$AU$109</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c:spPr>
          <c:invertIfNegative val="0"/>
          <c:dLbls>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Regions'!$AQ$110:$AQ$114</c:f>
              <c:strCache>
                <c:ptCount val="5"/>
                <c:pt idx="0">
                  <c:v>San Diego-Bakersfield/                                   283miles</c:v>
                </c:pt>
                <c:pt idx="1">
                  <c:v>San Diego-KT Hanford/                                          322miles</c:v>
                </c:pt>
                <c:pt idx="2">
                  <c:v>San Diego-Madera/                           368miles</c:v>
                </c:pt>
                <c:pt idx="3">
                  <c:v>San Diego-Fresno/                                          390miles</c:v>
                </c:pt>
                <c:pt idx="4">
                  <c:v>San Diego-Merced/                                          446miles</c:v>
                </c:pt>
              </c:strCache>
            </c:strRef>
          </c:cat>
          <c:val>
            <c:numRef>
              <c:f>'RT Travel Non-Adjacent Regions'!$AU$110:$AU$114</c:f>
              <c:numCache>
                <c:formatCode>#,##0</c:formatCode>
                <c:ptCount val="5"/>
                <c:pt idx="0">
                  <c:v>65.5</c:v>
                </c:pt>
                <c:pt idx="1">
                  <c:v>16.000000000000114</c:v>
                </c:pt>
                <c:pt idx="2">
                  <c:v>12.000000000000114</c:v>
                </c:pt>
                <c:pt idx="3">
                  <c:v>-39.999999999999886</c:v>
                </c:pt>
                <c:pt idx="4">
                  <c:v>-81.999999999999886</c:v>
                </c:pt>
              </c:numCache>
            </c:numRef>
          </c:val>
          <c:extLst>
            <c:ext xmlns:c16="http://schemas.microsoft.com/office/drawing/2014/chart" uri="{C3380CC4-5D6E-409C-BE32-E72D297353CC}">
              <c16:uniqueId val="{00000005-92F0-FC44-B605-851BF8273BC6}"/>
            </c:ext>
          </c:extLst>
        </c:ser>
        <c:ser>
          <c:idx val="4"/>
          <c:order val="4"/>
          <c:tx>
            <c:strRef>
              <c:f>'RT Travel Non-Adjacent Regions'!$AV$109</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c:spPr>
          <c:invertIfNegative val="0"/>
          <c:dLbls>
            <c:dLbl>
              <c:idx val="4"/>
              <c:layout>
                <c:manualLayout>
                  <c:x val="0"/>
                  <c:y val="8.3151255307746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F0-FC44-B605-851BF8273BC6}"/>
                </c:ext>
              </c:extLst>
            </c:dLbl>
            <c:spPr>
              <a:noFill/>
              <a:ln w="25400">
                <a:noFill/>
              </a:ln>
            </c:spPr>
            <c:txPr>
              <a:bodyPr/>
              <a:lstStyle/>
              <a:p>
                <a:pPr>
                  <a:defRPr sz="600" b="1" i="0">
                    <a:solidFill>
                      <a:srgbClr val="0000FF"/>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Regions'!$AQ$110:$AQ$114</c:f>
              <c:strCache>
                <c:ptCount val="5"/>
                <c:pt idx="0">
                  <c:v>San Diego-Bakersfield/                                   283miles</c:v>
                </c:pt>
                <c:pt idx="1">
                  <c:v>San Diego-KT Hanford/                                          322miles</c:v>
                </c:pt>
                <c:pt idx="2">
                  <c:v>San Diego-Madera/                           368miles</c:v>
                </c:pt>
                <c:pt idx="3">
                  <c:v>San Diego-Fresno/                                          390miles</c:v>
                </c:pt>
                <c:pt idx="4">
                  <c:v>San Diego-Merced/                                          446miles</c:v>
                </c:pt>
              </c:strCache>
            </c:strRef>
          </c:cat>
          <c:val>
            <c:numRef>
              <c:f>'RT Travel Non-Adjacent Regions'!$AV$110:$AV$114</c:f>
              <c:numCache>
                <c:formatCode>#,##0</c:formatCode>
                <c:ptCount val="5"/>
                <c:pt idx="0">
                  <c:v>-146</c:v>
                </c:pt>
                <c:pt idx="1">
                  <c:v>418</c:v>
                </c:pt>
                <c:pt idx="2">
                  <c:v>506</c:v>
                </c:pt>
                <c:pt idx="3">
                  <c:v>408</c:v>
                </c:pt>
                <c:pt idx="4">
                  <c:v>458</c:v>
                </c:pt>
              </c:numCache>
            </c:numRef>
          </c:val>
          <c:extLst>
            <c:ext xmlns:c16="http://schemas.microsoft.com/office/drawing/2014/chart" uri="{C3380CC4-5D6E-409C-BE32-E72D297353CC}">
              <c16:uniqueId val="{00000007-92F0-FC44-B605-851BF8273BC6}"/>
            </c:ext>
          </c:extLst>
        </c:ser>
        <c:dLbls>
          <c:showLegendKey val="0"/>
          <c:showVal val="0"/>
          <c:showCatName val="0"/>
          <c:showSerName val="0"/>
          <c:showPercent val="0"/>
          <c:showBubbleSize val="0"/>
        </c:dLbls>
        <c:gapWidth val="50"/>
        <c:axId val="-2130039800"/>
        <c:axId val="-2130032616"/>
      </c:barChart>
      <c:catAx>
        <c:axId val="-2130039800"/>
        <c:scaling>
          <c:orientation val="minMax"/>
        </c:scaling>
        <c:delete val="0"/>
        <c:axPos val="b"/>
        <c:numFmt formatCode="General" sourceLinked="0"/>
        <c:majorTickMark val="out"/>
        <c:minorTickMark val="none"/>
        <c:tickLblPos val="low"/>
        <c:txPr>
          <a:bodyPr/>
          <a:lstStyle/>
          <a:p>
            <a:pPr>
              <a:defRPr sz="600" b="1" i="0"/>
            </a:pPr>
            <a:endParaRPr lang="en-US"/>
          </a:p>
        </c:txPr>
        <c:crossAx val="-2130032616"/>
        <c:crosses val="autoZero"/>
        <c:auto val="1"/>
        <c:lblAlgn val="ctr"/>
        <c:lblOffset val="100"/>
        <c:noMultiLvlLbl val="0"/>
      </c:catAx>
      <c:valAx>
        <c:axId val="-2130032616"/>
        <c:scaling>
          <c:orientation val="minMax"/>
          <c:max val="700"/>
          <c:min val="-190"/>
        </c:scaling>
        <c:delete val="0"/>
        <c:axPos val="l"/>
        <c:majorGridlines>
          <c:spPr>
            <a:ln w="12700" cmpd="sng">
              <a:prstDash val="sysDot"/>
            </a:ln>
          </c:spPr>
        </c:majorGridlines>
        <c:numFmt formatCode="&quot;$&quot;#,##0" sourceLinked="1"/>
        <c:majorTickMark val="out"/>
        <c:minorTickMark val="none"/>
        <c:tickLblPos val="nextTo"/>
        <c:txPr>
          <a:bodyPr/>
          <a:lstStyle/>
          <a:p>
            <a:pPr>
              <a:defRPr sz="500">
                <a:solidFill>
                  <a:srgbClr val="FF0000"/>
                </a:solidFill>
              </a:defRPr>
            </a:pPr>
            <a:endParaRPr lang="en-US"/>
          </a:p>
        </c:txPr>
        <c:crossAx val="-2130039800"/>
        <c:crosses val="autoZero"/>
        <c:crossBetween val="between"/>
        <c:majorUnit val="80"/>
      </c:valAx>
      <c:spPr>
        <a:noFill/>
        <a:ln w="25400">
          <a:noFill/>
        </a:ln>
      </c:spPr>
    </c:plotArea>
    <c:legend>
      <c:legendPos val="r"/>
      <c:layout>
        <c:manualLayout>
          <c:xMode val="edge"/>
          <c:yMode val="edge"/>
          <c:x val="0.19851326815321466"/>
          <c:y val="8.3560028316466639E-2"/>
          <c:w val="0.79946954966881334"/>
          <c:h val="0.29360079805713213"/>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2" r="0.75000000000000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4.4878657471567301E-2"/>
          <c:y val="4.5016077170418098E-2"/>
          <c:w val="0.95512134252843295"/>
          <c:h val="0.87016810462222505"/>
        </c:manualLayout>
      </c:layout>
      <c:barChart>
        <c:barDir val="col"/>
        <c:grouping val="clustered"/>
        <c:varyColors val="0"/>
        <c:ser>
          <c:idx val="0"/>
          <c:order val="0"/>
          <c:tx>
            <c:strRef>
              <c:f>'RT Travel Non-Adjacent Regions'!$AR$18</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Regions'!$AQ$19:$AQ$23</c:f>
              <c:strCache>
                <c:ptCount val="5"/>
                <c:pt idx="0">
                  <c:v>OC Gateway-Gilroy /                                                     402miles</c:v>
                </c:pt>
                <c:pt idx="1">
                  <c:v>Anahiem-Gilroy/                                           415miles</c:v>
                </c:pt>
                <c:pt idx="2">
                  <c:v>Los Angeles-San Jose/                              418miles</c:v>
                </c:pt>
                <c:pt idx="3">
                  <c:v>Los Angeles-San Francisco/                                          466miles</c:v>
                </c:pt>
                <c:pt idx="4">
                  <c:v>Long Beach-Oakland/                                                      503miles</c:v>
                </c:pt>
              </c:strCache>
            </c:strRef>
          </c:cat>
          <c:val>
            <c:numRef>
              <c:f>'RT Travel Non-Adjacent Regions'!$AR$19:$AR$23</c:f>
              <c:numCache>
                <c:formatCode>"$"#,##0</c:formatCode>
                <c:ptCount val="5"/>
                <c:pt idx="0">
                  <c:v>151.80000000000001</c:v>
                </c:pt>
                <c:pt idx="1">
                  <c:v>155.48000000000002</c:v>
                </c:pt>
                <c:pt idx="2">
                  <c:v>157.32</c:v>
                </c:pt>
                <c:pt idx="3">
                  <c:v>175.26000000000002</c:v>
                </c:pt>
                <c:pt idx="4">
                  <c:v>181.24</c:v>
                </c:pt>
              </c:numCache>
            </c:numRef>
          </c:val>
          <c:extLst>
            <c:ext xmlns:c16="http://schemas.microsoft.com/office/drawing/2014/chart" uri="{C3380CC4-5D6E-409C-BE32-E72D297353CC}">
              <c16:uniqueId val="{00000000-F39D-B14A-AADD-78C3B33A4264}"/>
            </c:ext>
          </c:extLst>
        </c:ser>
        <c:ser>
          <c:idx val="1"/>
          <c:order val="1"/>
          <c:tx>
            <c:strRef>
              <c:f>'RT Travel Non-Adjacent Regions'!$AS$18</c:f>
              <c:strCache>
                <c:ptCount val="1"/>
                <c:pt idx="0">
                  <c:v>False Phase 1:  Per person cost of inter-regional round-trip using HSR; based on Table 2.2 fares</c:v>
                </c:pt>
              </c:strCache>
            </c:strRef>
          </c:tx>
          <c:spPr>
            <a:pattFill prst="dkUpDiag">
              <a:fgClr>
                <a:srgbClr val="FF0000"/>
              </a:fgClr>
              <a:bgClr>
                <a:schemeClr val="bg1"/>
              </a:bgClr>
            </a:pattFill>
            <a:ln>
              <a:noFill/>
            </a:ln>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Regions'!$AQ$19:$AQ$23</c:f>
              <c:strCache>
                <c:ptCount val="5"/>
                <c:pt idx="0">
                  <c:v>OC Gateway-Gilroy /                                                     402miles</c:v>
                </c:pt>
                <c:pt idx="1">
                  <c:v>Anahiem-Gilroy/                                           415miles</c:v>
                </c:pt>
                <c:pt idx="2">
                  <c:v>Los Angeles-San Jose/                              418miles</c:v>
                </c:pt>
                <c:pt idx="3">
                  <c:v>Los Angeles-San Francisco/                                          466miles</c:v>
                </c:pt>
                <c:pt idx="4">
                  <c:v>Long Beach-Oakland/                                                      503miles</c:v>
                </c:pt>
              </c:strCache>
            </c:strRef>
          </c:cat>
          <c:val>
            <c:numRef>
              <c:f>'RT Travel Non-Adjacent Regions'!$AS$19:$AS$23</c:f>
              <c:numCache>
                <c:formatCode>"$"#,##0</c:formatCode>
                <c:ptCount val="5"/>
                <c:pt idx="0">
                  <c:v>209</c:v>
                </c:pt>
                <c:pt idx="1">
                  <c:v>209</c:v>
                </c:pt>
                <c:pt idx="2">
                  <c:v>209</c:v>
                </c:pt>
                <c:pt idx="3">
                  <c:v>209</c:v>
                </c:pt>
                <c:pt idx="4">
                  <c:v>219.4</c:v>
                </c:pt>
              </c:numCache>
            </c:numRef>
          </c:val>
          <c:extLst>
            <c:ext xmlns:c16="http://schemas.microsoft.com/office/drawing/2014/chart" uri="{C3380CC4-5D6E-409C-BE32-E72D297353CC}">
              <c16:uniqueId val="{00000001-F39D-B14A-AADD-78C3B33A4264}"/>
            </c:ext>
          </c:extLst>
        </c:ser>
        <c:ser>
          <c:idx val="2"/>
          <c:order val="2"/>
          <c:tx>
            <c:strRef>
              <c:f>'RT Travel Non-Adjacent Regions'!$AT$18</c:f>
              <c:strCache>
                <c:ptCount val="1"/>
                <c:pt idx="0">
                  <c:v>Round trip airfares + $23 for access+egress costs and Remote Access Costs if applicable</c:v>
                </c:pt>
              </c:strCache>
            </c:strRef>
          </c:tx>
          <c:spPr>
            <a:pattFill prst="pct75">
              <a:fgClr>
                <a:srgbClr val="3366FF"/>
              </a:fgClr>
              <a:bgClr>
                <a:schemeClr val="bg1"/>
              </a:bgClr>
            </a:pattFill>
            <a:ln>
              <a:noFill/>
            </a:ln>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Regions'!$AQ$19:$AQ$23</c:f>
              <c:strCache>
                <c:ptCount val="5"/>
                <c:pt idx="0">
                  <c:v>OC Gateway-Gilroy /                                                     402miles</c:v>
                </c:pt>
                <c:pt idx="1">
                  <c:v>Anahiem-Gilroy/                                           415miles</c:v>
                </c:pt>
                <c:pt idx="2">
                  <c:v>Los Angeles-San Jose/                              418miles</c:v>
                </c:pt>
                <c:pt idx="3">
                  <c:v>Los Angeles-San Francisco/                                          466miles</c:v>
                </c:pt>
                <c:pt idx="4">
                  <c:v>Long Beach-Oakland/                                                      503miles</c:v>
                </c:pt>
              </c:strCache>
            </c:strRef>
          </c:cat>
          <c:val>
            <c:numRef>
              <c:f>'RT Travel Non-Adjacent Regions'!$AT$19:$AT$23</c:f>
              <c:numCache>
                <c:formatCode>"$"#,##0</c:formatCode>
                <c:ptCount val="5"/>
                <c:pt idx="0">
                  <c:v>159</c:v>
                </c:pt>
                <c:pt idx="1">
                  <c:v>159</c:v>
                </c:pt>
                <c:pt idx="2">
                  <c:v>144</c:v>
                </c:pt>
                <c:pt idx="3">
                  <c:v>112</c:v>
                </c:pt>
                <c:pt idx="4">
                  <c:v>145</c:v>
                </c:pt>
              </c:numCache>
            </c:numRef>
          </c:val>
          <c:extLst>
            <c:ext xmlns:c16="http://schemas.microsoft.com/office/drawing/2014/chart" uri="{C3380CC4-5D6E-409C-BE32-E72D297353CC}">
              <c16:uniqueId val="{00000002-F39D-B14A-AADD-78C3B33A4264}"/>
            </c:ext>
          </c:extLst>
        </c:ser>
        <c:ser>
          <c:idx val="3"/>
          <c:order val="3"/>
          <c:tx>
            <c:strRef>
              <c:f>'RT Travel Non-Adjacent Regions'!$AU$18</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c:spPr>
          <c:invertIfNegative val="0"/>
          <c:dLbls>
            <c:dLbl>
              <c:idx val="3"/>
              <c:layout>
                <c:manualLayout>
                  <c:x val="-3.9375822590388271E-2"/>
                  <c:y val="5.24552323504223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FD-8D49-96AC-E4BE7DEDC65E}"/>
                </c:ext>
              </c:extLst>
            </c:dLbl>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Regions'!$AQ$19:$AQ$23</c:f>
              <c:strCache>
                <c:ptCount val="5"/>
                <c:pt idx="0">
                  <c:v>OC Gateway-Gilroy /                                                     402miles</c:v>
                </c:pt>
                <c:pt idx="1">
                  <c:v>Anahiem-Gilroy/                                           415miles</c:v>
                </c:pt>
                <c:pt idx="2">
                  <c:v>Los Angeles-San Jose/                              418miles</c:v>
                </c:pt>
                <c:pt idx="3">
                  <c:v>Los Angeles-San Francisco/                                          466miles</c:v>
                </c:pt>
                <c:pt idx="4">
                  <c:v>Long Beach-Oakland/                                                      503miles</c:v>
                </c:pt>
              </c:strCache>
            </c:strRef>
          </c:cat>
          <c:val>
            <c:numRef>
              <c:f>'RT Travel Non-Adjacent Regions'!$AU$19:$AU$23</c:f>
              <c:numCache>
                <c:formatCode>#,##0</c:formatCode>
                <c:ptCount val="5"/>
                <c:pt idx="0">
                  <c:v>-92.199999999999932</c:v>
                </c:pt>
                <c:pt idx="1">
                  <c:v>-95.799999999999955</c:v>
                </c:pt>
                <c:pt idx="2">
                  <c:v>-299.39999999999998</c:v>
                </c:pt>
                <c:pt idx="3">
                  <c:v>-282.39999999999998</c:v>
                </c:pt>
                <c:pt idx="4">
                  <c:v>-25.599999999999909</c:v>
                </c:pt>
              </c:numCache>
            </c:numRef>
          </c:val>
          <c:extLst>
            <c:ext xmlns:c16="http://schemas.microsoft.com/office/drawing/2014/chart" uri="{C3380CC4-5D6E-409C-BE32-E72D297353CC}">
              <c16:uniqueId val="{00000003-F39D-B14A-AADD-78C3B33A4264}"/>
            </c:ext>
          </c:extLst>
        </c:ser>
        <c:ser>
          <c:idx val="4"/>
          <c:order val="4"/>
          <c:tx>
            <c:strRef>
              <c:f>'RT Travel Non-Adjacent Regions'!$AV$18</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c:spPr>
          <c:invertIfNegative val="0"/>
          <c:dLbls>
            <c:spPr>
              <a:noFill/>
              <a:ln w="25400">
                <a:noFill/>
              </a:ln>
            </c:spPr>
            <c:txPr>
              <a:bodyPr/>
              <a:lstStyle/>
              <a:p>
                <a:pPr>
                  <a:defRPr sz="600" b="1" i="0">
                    <a:solidFill>
                      <a:srgbClr val="0000FF"/>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Regions'!$AQ$19:$AQ$23</c:f>
              <c:strCache>
                <c:ptCount val="5"/>
                <c:pt idx="0">
                  <c:v>OC Gateway-Gilroy /                                                     402miles</c:v>
                </c:pt>
                <c:pt idx="1">
                  <c:v>Anahiem-Gilroy/                                           415miles</c:v>
                </c:pt>
                <c:pt idx="2">
                  <c:v>Los Angeles-San Jose/                              418miles</c:v>
                </c:pt>
                <c:pt idx="3">
                  <c:v>Los Angeles-San Francisco/                                          466miles</c:v>
                </c:pt>
                <c:pt idx="4">
                  <c:v>Long Beach-Oakland/                                                      503miles</c:v>
                </c:pt>
              </c:strCache>
            </c:strRef>
          </c:cat>
          <c:val>
            <c:numRef>
              <c:f>'RT Travel Non-Adjacent Regions'!$AV$19:$AV$23</c:f>
              <c:numCache>
                <c:formatCode>#,##0</c:formatCode>
                <c:ptCount val="5"/>
                <c:pt idx="0">
                  <c:v>250</c:v>
                </c:pt>
                <c:pt idx="1">
                  <c:v>274</c:v>
                </c:pt>
                <c:pt idx="2">
                  <c:v>52</c:v>
                </c:pt>
                <c:pt idx="3">
                  <c:v>106</c:v>
                </c:pt>
                <c:pt idx="4">
                  <c:v>400</c:v>
                </c:pt>
              </c:numCache>
            </c:numRef>
          </c:val>
          <c:extLst>
            <c:ext xmlns:c16="http://schemas.microsoft.com/office/drawing/2014/chart" uri="{C3380CC4-5D6E-409C-BE32-E72D297353CC}">
              <c16:uniqueId val="{00000004-F39D-B14A-AADD-78C3B33A4264}"/>
            </c:ext>
          </c:extLst>
        </c:ser>
        <c:dLbls>
          <c:showLegendKey val="0"/>
          <c:showVal val="0"/>
          <c:showCatName val="0"/>
          <c:showSerName val="0"/>
          <c:showPercent val="0"/>
          <c:showBubbleSize val="0"/>
        </c:dLbls>
        <c:gapWidth val="50"/>
        <c:axId val="-2129844600"/>
        <c:axId val="-2129841560"/>
      </c:barChart>
      <c:catAx>
        <c:axId val="-2129844600"/>
        <c:scaling>
          <c:orientation val="minMax"/>
        </c:scaling>
        <c:delete val="0"/>
        <c:axPos val="b"/>
        <c:numFmt formatCode="General" sourceLinked="0"/>
        <c:majorTickMark val="out"/>
        <c:minorTickMark val="none"/>
        <c:tickLblPos val="low"/>
        <c:txPr>
          <a:bodyPr/>
          <a:lstStyle/>
          <a:p>
            <a:pPr>
              <a:defRPr sz="600" b="1" i="0"/>
            </a:pPr>
            <a:endParaRPr lang="en-US"/>
          </a:p>
        </c:txPr>
        <c:crossAx val="-2129841560"/>
        <c:crosses val="autoZero"/>
        <c:auto val="1"/>
        <c:lblAlgn val="ctr"/>
        <c:lblOffset val="100"/>
        <c:noMultiLvlLbl val="0"/>
      </c:catAx>
      <c:valAx>
        <c:axId val="-2129841560"/>
        <c:scaling>
          <c:orientation val="minMax"/>
          <c:max val="625"/>
          <c:min val="-325"/>
        </c:scaling>
        <c:delete val="0"/>
        <c:axPos val="l"/>
        <c:majorGridlines>
          <c:spPr>
            <a:ln w="12700" cmpd="sng">
              <a:prstDash val="sysDot"/>
            </a:ln>
          </c:spPr>
        </c:majorGridlines>
        <c:numFmt formatCode="&quot;$&quot;#,##0" sourceLinked="1"/>
        <c:majorTickMark val="out"/>
        <c:minorTickMark val="none"/>
        <c:tickLblPos val="nextTo"/>
        <c:txPr>
          <a:bodyPr/>
          <a:lstStyle/>
          <a:p>
            <a:pPr>
              <a:defRPr sz="500">
                <a:solidFill>
                  <a:srgbClr val="FF0000"/>
                </a:solidFill>
              </a:defRPr>
            </a:pPr>
            <a:endParaRPr lang="en-US"/>
          </a:p>
        </c:txPr>
        <c:crossAx val="-2129844600"/>
        <c:crosses val="autoZero"/>
        <c:crossBetween val="between"/>
      </c:valAx>
      <c:spPr>
        <a:noFill/>
        <a:ln w="25400">
          <a:noFill/>
        </a:ln>
      </c:spPr>
    </c:plotArea>
    <c:legend>
      <c:legendPos val="r"/>
      <c:layout>
        <c:manualLayout>
          <c:xMode val="edge"/>
          <c:yMode val="edge"/>
          <c:x val="0"/>
          <c:y val="4.5121037739413783E-2"/>
          <c:w val="0.87265232958746497"/>
          <c:h val="0.28181283215640779"/>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2" r="0.750000000000002"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'RT Travel Non-Adjacent Regions'!$AR$30</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Regions'!$AQ$31:$AQ$36</c:f>
              <c:strCache>
                <c:ptCount val="6"/>
                <c:pt idx="0">
                  <c:v>San Francisco-Palmdale/                                           409miles</c:v>
                </c:pt>
                <c:pt idx="1">
                  <c:v>San Jose-Burbank (BUR)/                            412miles</c:v>
                </c:pt>
                <c:pt idx="2">
                  <c:v>San Jose-OC Gateway/                                     432 miles</c:v>
                </c:pt>
                <c:pt idx="3">
                  <c:v>San Jose-Anaheim/                         445miles</c:v>
                </c:pt>
                <c:pt idx="4">
                  <c:v>Millbrae-Burbank/                                  445miles</c:v>
                </c:pt>
                <c:pt idx="5">
                  <c:v>Millbrae-Los Angeles/                             451miles</c:v>
                </c:pt>
              </c:strCache>
            </c:strRef>
          </c:cat>
          <c:val>
            <c:numRef>
              <c:f>'RT Travel Non-Adjacent Regions'!$AR$31:$AR$36</c:f>
              <c:numCache>
                <c:formatCode>"$"#,##0</c:formatCode>
                <c:ptCount val="6"/>
                <c:pt idx="0">
                  <c:v>169.74</c:v>
                </c:pt>
                <c:pt idx="1">
                  <c:v>150.88</c:v>
                </c:pt>
                <c:pt idx="2">
                  <c:v>163.30000000000001</c:v>
                </c:pt>
                <c:pt idx="3">
                  <c:v>169.74</c:v>
                </c:pt>
                <c:pt idx="4">
                  <c:v>166.06</c:v>
                </c:pt>
                <c:pt idx="5">
                  <c:v>172.04000000000002</c:v>
                </c:pt>
              </c:numCache>
            </c:numRef>
          </c:val>
          <c:extLst>
            <c:ext xmlns:c16="http://schemas.microsoft.com/office/drawing/2014/chart" uri="{C3380CC4-5D6E-409C-BE32-E72D297353CC}">
              <c16:uniqueId val="{00000000-5E03-074A-809E-FD3912854265}"/>
            </c:ext>
          </c:extLst>
        </c:ser>
        <c:ser>
          <c:idx val="1"/>
          <c:order val="1"/>
          <c:tx>
            <c:strRef>
              <c:f>'RT Travel Non-Adjacent Regions'!$AS$30</c:f>
              <c:strCache>
                <c:ptCount val="1"/>
                <c:pt idx="0">
                  <c:v>False Phase 1:  Per person cost of inter-regional round-trip using HSR; based on Table 2.2 fares</c:v>
                </c:pt>
              </c:strCache>
            </c:strRef>
          </c:tx>
          <c:spPr>
            <a:pattFill prst="dkUpDiag">
              <a:fgClr>
                <a:srgbClr val="FF0000"/>
              </a:fgClr>
              <a:bgClr>
                <a:schemeClr val="bg1"/>
              </a:bgClr>
            </a:pattFill>
            <a:ln>
              <a:noFill/>
            </a:ln>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Regions'!$AQ$31:$AQ$36</c:f>
              <c:strCache>
                <c:ptCount val="6"/>
                <c:pt idx="0">
                  <c:v>San Francisco-Palmdale/                                           409miles</c:v>
                </c:pt>
                <c:pt idx="1">
                  <c:v>San Jose-Burbank (BUR)/                            412miles</c:v>
                </c:pt>
                <c:pt idx="2">
                  <c:v>San Jose-OC Gateway/                                     432 miles</c:v>
                </c:pt>
                <c:pt idx="3">
                  <c:v>San Jose-Anaheim/                         445miles</c:v>
                </c:pt>
                <c:pt idx="4">
                  <c:v>Millbrae-Burbank/                                  445miles</c:v>
                </c:pt>
                <c:pt idx="5">
                  <c:v>Millbrae-Los Angeles/                             451miles</c:v>
                </c:pt>
              </c:strCache>
            </c:strRef>
          </c:cat>
          <c:val>
            <c:numRef>
              <c:f>'RT Travel Non-Adjacent Regions'!$AS$31:$AS$36</c:f>
              <c:numCache>
                <c:formatCode>"$"#,##0</c:formatCode>
                <c:ptCount val="6"/>
                <c:pt idx="0">
                  <c:v>209</c:v>
                </c:pt>
                <c:pt idx="1">
                  <c:v>209</c:v>
                </c:pt>
                <c:pt idx="2">
                  <c:v>209</c:v>
                </c:pt>
                <c:pt idx="3">
                  <c:v>209</c:v>
                </c:pt>
                <c:pt idx="4">
                  <c:v>209</c:v>
                </c:pt>
                <c:pt idx="5">
                  <c:v>209</c:v>
                </c:pt>
              </c:numCache>
            </c:numRef>
          </c:val>
          <c:extLst>
            <c:ext xmlns:c16="http://schemas.microsoft.com/office/drawing/2014/chart" uri="{C3380CC4-5D6E-409C-BE32-E72D297353CC}">
              <c16:uniqueId val="{00000001-5E03-074A-809E-FD3912854265}"/>
            </c:ext>
          </c:extLst>
        </c:ser>
        <c:ser>
          <c:idx val="2"/>
          <c:order val="2"/>
          <c:tx>
            <c:strRef>
              <c:f>'RT Travel Non-Adjacent Regions'!$AT$30</c:f>
              <c:strCache>
                <c:ptCount val="1"/>
                <c:pt idx="0">
                  <c:v>Round trip airfares + $23 for access+egress costs and Remote Access Costs if applicable</c:v>
                </c:pt>
              </c:strCache>
            </c:strRef>
          </c:tx>
          <c:spPr>
            <a:pattFill prst="pct75">
              <a:fgClr>
                <a:srgbClr val="3366FF"/>
              </a:fgClr>
              <a:bgClr>
                <a:schemeClr val="bg1"/>
              </a:bgClr>
            </a:pattFill>
            <a:ln>
              <a:noFill/>
            </a:ln>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Regions'!$AQ$31:$AQ$36</c:f>
              <c:strCache>
                <c:ptCount val="6"/>
                <c:pt idx="0">
                  <c:v>San Francisco-Palmdale/                                           409miles</c:v>
                </c:pt>
                <c:pt idx="1">
                  <c:v>San Jose-Burbank (BUR)/                            412miles</c:v>
                </c:pt>
                <c:pt idx="2">
                  <c:v>San Jose-OC Gateway/                                     432 miles</c:v>
                </c:pt>
                <c:pt idx="3">
                  <c:v>San Jose-Anaheim/                         445miles</c:v>
                </c:pt>
                <c:pt idx="4">
                  <c:v>Millbrae-Burbank/                                  445miles</c:v>
                </c:pt>
                <c:pt idx="5">
                  <c:v>Millbrae-Los Angeles/                             451miles</c:v>
                </c:pt>
              </c:strCache>
            </c:strRef>
          </c:cat>
          <c:val>
            <c:numRef>
              <c:f>'RT Travel Non-Adjacent Regions'!$AT$31:$AT$36</c:f>
              <c:numCache>
                <c:formatCode>"$"#,##0</c:formatCode>
                <c:ptCount val="6"/>
                <c:pt idx="0">
                  <c:v>143</c:v>
                </c:pt>
                <c:pt idx="1">
                  <c:v>160</c:v>
                </c:pt>
                <c:pt idx="2">
                  <c:v>159</c:v>
                </c:pt>
                <c:pt idx="3">
                  <c:v>159</c:v>
                </c:pt>
                <c:pt idx="4">
                  <c:v>191</c:v>
                </c:pt>
                <c:pt idx="5">
                  <c:v>127</c:v>
                </c:pt>
              </c:numCache>
            </c:numRef>
          </c:val>
          <c:extLst>
            <c:ext xmlns:c16="http://schemas.microsoft.com/office/drawing/2014/chart" uri="{C3380CC4-5D6E-409C-BE32-E72D297353CC}">
              <c16:uniqueId val="{00000002-5E03-074A-809E-FD3912854265}"/>
            </c:ext>
          </c:extLst>
        </c:ser>
        <c:ser>
          <c:idx val="3"/>
          <c:order val="3"/>
          <c:tx>
            <c:strRef>
              <c:f>'RT Travel Non-Adjacent Regions'!$AU$30</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c:spPr>
          <c:invertIfNegative val="0"/>
          <c:dLbls>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Regions'!$AQ$31:$AQ$36</c:f>
              <c:strCache>
                <c:ptCount val="6"/>
                <c:pt idx="0">
                  <c:v>San Francisco-Palmdale/                                           409miles</c:v>
                </c:pt>
                <c:pt idx="1">
                  <c:v>San Jose-Burbank (BUR)/                            412miles</c:v>
                </c:pt>
                <c:pt idx="2">
                  <c:v>San Jose-OC Gateway/                                     432 miles</c:v>
                </c:pt>
                <c:pt idx="3">
                  <c:v>San Jose-Anaheim/                         445miles</c:v>
                </c:pt>
                <c:pt idx="4">
                  <c:v>Millbrae-Burbank/                                  445miles</c:v>
                </c:pt>
                <c:pt idx="5">
                  <c:v>Millbrae-Los Angeles/                             451miles</c:v>
                </c:pt>
              </c:strCache>
            </c:strRef>
          </c:cat>
          <c:val>
            <c:numRef>
              <c:f>'RT Travel Non-Adjacent Regions'!$AU$31:$AU$36</c:f>
              <c:numCache>
                <c:formatCode>#,##0</c:formatCode>
                <c:ptCount val="6"/>
                <c:pt idx="0">
                  <c:v>-172.39999999999998</c:v>
                </c:pt>
                <c:pt idx="1">
                  <c:v>-307.79999999999995</c:v>
                </c:pt>
                <c:pt idx="2">
                  <c:v>-263.79999999999995</c:v>
                </c:pt>
                <c:pt idx="3">
                  <c:v>-306.49999999999989</c:v>
                </c:pt>
                <c:pt idx="4">
                  <c:v>-287.39999999999998</c:v>
                </c:pt>
                <c:pt idx="5">
                  <c:v>-297.39999999999998</c:v>
                </c:pt>
              </c:numCache>
            </c:numRef>
          </c:val>
          <c:extLst>
            <c:ext xmlns:c16="http://schemas.microsoft.com/office/drawing/2014/chart" uri="{C3380CC4-5D6E-409C-BE32-E72D297353CC}">
              <c16:uniqueId val="{00000003-5E03-074A-809E-FD3912854265}"/>
            </c:ext>
          </c:extLst>
        </c:ser>
        <c:ser>
          <c:idx val="4"/>
          <c:order val="4"/>
          <c:tx>
            <c:strRef>
              <c:f>'RT Travel Non-Adjacent Regions'!$AV$30</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c:spPr>
          <c:invertIfNegative val="0"/>
          <c:dLbls>
            <c:dLbl>
              <c:idx val="0"/>
              <c:layout>
                <c:manualLayout>
                  <c:x val="4.906414963715710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03-074A-809E-FD3912854265}"/>
                </c:ext>
              </c:extLst>
            </c:dLbl>
            <c:dLbl>
              <c:idx val="1"/>
              <c:layout>
                <c:manualLayout>
                  <c:x val="4.9064149637157101E-3"/>
                  <c:y val="-3.705047106686189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03-074A-809E-FD3912854265}"/>
                </c:ext>
              </c:extLst>
            </c:dLbl>
            <c:spPr>
              <a:noFill/>
              <a:ln w="25400">
                <a:noFill/>
              </a:ln>
            </c:spPr>
            <c:txPr>
              <a:bodyPr/>
              <a:lstStyle/>
              <a:p>
                <a:pPr>
                  <a:defRPr sz="600" b="1" i="0">
                    <a:solidFill>
                      <a:srgbClr val="0000FF"/>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Regions'!$AQ$31:$AQ$36</c:f>
              <c:strCache>
                <c:ptCount val="6"/>
                <c:pt idx="0">
                  <c:v>San Francisco-Palmdale/                                           409miles</c:v>
                </c:pt>
                <c:pt idx="1">
                  <c:v>San Jose-Burbank (BUR)/                            412miles</c:v>
                </c:pt>
                <c:pt idx="2">
                  <c:v>San Jose-OC Gateway/                                     432 miles</c:v>
                </c:pt>
                <c:pt idx="3">
                  <c:v>San Jose-Anaheim/                         445miles</c:v>
                </c:pt>
                <c:pt idx="4">
                  <c:v>Millbrae-Burbank/                                  445miles</c:v>
                </c:pt>
                <c:pt idx="5">
                  <c:v>Millbrae-Los Angeles/                             451miles</c:v>
                </c:pt>
              </c:strCache>
            </c:strRef>
          </c:cat>
          <c:val>
            <c:numRef>
              <c:f>'RT Travel Non-Adjacent Regions'!$AV$31:$AV$36</c:f>
              <c:numCache>
                <c:formatCode>#,##0</c:formatCode>
                <c:ptCount val="6"/>
                <c:pt idx="0">
                  <c:v>170</c:v>
                </c:pt>
                <c:pt idx="1">
                  <c:v>16</c:v>
                </c:pt>
                <c:pt idx="2">
                  <c:v>152</c:v>
                </c:pt>
                <c:pt idx="3">
                  <c:v>176</c:v>
                </c:pt>
                <c:pt idx="4">
                  <c:v>40</c:v>
                </c:pt>
                <c:pt idx="5">
                  <c:v>68</c:v>
                </c:pt>
              </c:numCache>
            </c:numRef>
          </c:val>
          <c:extLst>
            <c:ext xmlns:c16="http://schemas.microsoft.com/office/drawing/2014/chart" uri="{C3380CC4-5D6E-409C-BE32-E72D297353CC}">
              <c16:uniqueId val="{00000006-5E03-074A-809E-FD3912854265}"/>
            </c:ext>
          </c:extLst>
        </c:ser>
        <c:dLbls>
          <c:showLegendKey val="0"/>
          <c:showVal val="0"/>
          <c:showCatName val="0"/>
          <c:showSerName val="0"/>
          <c:showPercent val="0"/>
          <c:showBubbleSize val="0"/>
        </c:dLbls>
        <c:gapWidth val="50"/>
        <c:axId val="-2130036088"/>
        <c:axId val="-2129973368"/>
      </c:barChart>
      <c:catAx>
        <c:axId val="-2130036088"/>
        <c:scaling>
          <c:orientation val="minMax"/>
        </c:scaling>
        <c:delete val="0"/>
        <c:axPos val="b"/>
        <c:numFmt formatCode="General" sourceLinked="0"/>
        <c:majorTickMark val="out"/>
        <c:minorTickMark val="none"/>
        <c:tickLblPos val="low"/>
        <c:txPr>
          <a:bodyPr/>
          <a:lstStyle/>
          <a:p>
            <a:pPr>
              <a:defRPr sz="600" b="1" i="0"/>
            </a:pPr>
            <a:endParaRPr lang="en-US"/>
          </a:p>
        </c:txPr>
        <c:crossAx val="-2129973368"/>
        <c:crosses val="autoZero"/>
        <c:auto val="1"/>
        <c:lblAlgn val="ctr"/>
        <c:lblOffset val="100"/>
        <c:noMultiLvlLbl val="0"/>
      </c:catAx>
      <c:valAx>
        <c:axId val="-2129973368"/>
        <c:scaling>
          <c:orientation val="minMax"/>
          <c:max val="600"/>
          <c:min val="-350"/>
        </c:scaling>
        <c:delete val="0"/>
        <c:axPos val="l"/>
        <c:majorGridlines>
          <c:spPr>
            <a:ln w="12700" cmpd="sng">
              <a:prstDash val="sysDot"/>
            </a:ln>
          </c:spPr>
        </c:majorGridlines>
        <c:numFmt formatCode="&quot;$&quot;#,##0" sourceLinked="1"/>
        <c:majorTickMark val="out"/>
        <c:minorTickMark val="none"/>
        <c:tickLblPos val="nextTo"/>
        <c:txPr>
          <a:bodyPr/>
          <a:lstStyle/>
          <a:p>
            <a:pPr>
              <a:defRPr sz="500">
                <a:solidFill>
                  <a:srgbClr val="FF0000"/>
                </a:solidFill>
              </a:defRPr>
            </a:pPr>
            <a:endParaRPr lang="en-US"/>
          </a:p>
        </c:txPr>
        <c:crossAx val="-2130036088"/>
        <c:crosses val="autoZero"/>
        <c:crossBetween val="between"/>
      </c:valAx>
      <c:spPr>
        <a:noFill/>
        <a:ln w="25400">
          <a:noFill/>
        </a:ln>
      </c:spPr>
    </c:plotArea>
    <c:legend>
      <c:legendPos val="r"/>
      <c:layout>
        <c:manualLayout>
          <c:xMode val="edge"/>
          <c:yMode val="edge"/>
          <c:x val="3.1025321561128861E-5"/>
          <c:y val="6.339434593165387E-2"/>
          <c:w val="0.84127576122259362"/>
          <c:h val="0.25328148553591223"/>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2" r="0.750000000000002"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5.0610776988400101E-2"/>
          <c:y val="3.9660056657223802E-2"/>
          <c:w val="0.92833788399068595"/>
          <c:h val="0.88092356575153696"/>
        </c:manualLayout>
      </c:layout>
      <c:barChart>
        <c:barDir val="col"/>
        <c:grouping val="clustered"/>
        <c:varyColors val="0"/>
        <c:ser>
          <c:idx val="0"/>
          <c:order val="0"/>
          <c:tx>
            <c:strRef>
              <c:f>'RT Travel Non-Adjacent Regions'!$AR$43</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Regions'!$AQ$44:$AQ$48</c:f>
              <c:strCache>
                <c:ptCount val="5"/>
                <c:pt idx="0">
                  <c:v>Gilroy-Long Beach/                    413miles</c:v>
                </c:pt>
                <c:pt idx="1">
                  <c:v>San Jose-Long Beach/                         443miles</c:v>
                </c:pt>
                <c:pt idx="2">
                  <c:v>San Francisco-Burbank (BUR)/                    460miles</c:v>
                </c:pt>
                <c:pt idx="3">
                  <c:v>Millbrae-OC Gateway/                                    465miles</c:v>
                </c:pt>
                <c:pt idx="4">
                  <c:v>Millbrae-Long Beach/                                    476miles</c:v>
                </c:pt>
              </c:strCache>
            </c:strRef>
          </c:cat>
          <c:val>
            <c:numRef>
              <c:f>'RT Travel Non-Adjacent Regions'!$AR$44:$AR$48</c:f>
              <c:numCache>
                <c:formatCode>"$"#,##0</c:formatCode>
                <c:ptCount val="5"/>
                <c:pt idx="0">
                  <c:v>152.72</c:v>
                </c:pt>
                <c:pt idx="1">
                  <c:v>166.98000000000002</c:v>
                </c:pt>
                <c:pt idx="2">
                  <c:v>169.28</c:v>
                </c:pt>
                <c:pt idx="3">
                  <c:v>180.32000000000002</c:v>
                </c:pt>
                <c:pt idx="4">
                  <c:v>184</c:v>
                </c:pt>
              </c:numCache>
            </c:numRef>
          </c:val>
          <c:extLst>
            <c:ext xmlns:c16="http://schemas.microsoft.com/office/drawing/2014/chart" uri="{C3380CC4-5D6E-409C-BE32-E72D297353CC}">
              <c16:uniqueId val="{00000001-DD2C-3247-92FE-01E03E1F0A5A}"/>
            </c:ext>
          </c:extLst>
        </c:ser>
        <c:ser>
          <c:idx val="1"/>
          <c:order val="1"/>
          <c:tx>
            <c:strRef>
              <c:f>'RT Travel Non-Adjacent Regions'!$AS$43</c:f>
              <c:strCache>
                <c:ptCount val="1"/>
                <c:pt idx="0">
                  <c:v>False Phase 1:  Per person cost of inter-regional round-trip using HSR; based on Table 2.2 fares</c:v>
                </c:pt>
              </c:strCache>
            </c:strRef>
          </c:tx>
          <c:spPr>
            <a:pattFill prst="dkUpDiag">
              <a:fgClr>
                <a:srgbClr val="FF0000"/>
              </a:fgClr>
              <a:bgClr>
                <a:schemeClr val="bg1"/>
              </a:bgClr>
            </a:pattFill>
            <a:ln>
              <a:noFill/>
            </a:ln>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Regions'!$AQ$44:$AQ$48</c:f>
              <c:strCache>
                <c:ptCount val="5"/>
                <c:pt idx="0">
                  <c:v>Gilroy-Long Beach/                    413miles</c:v>
                </c:pt>
                <c:pt idx="1">
                  <c:v>San Jose-Long Beach/                         443miles</c:v>
                </c:pt>
                <c:pt idx="2">
                  <c:v>San Francisco-Burbank (BUR)/                    460miles</c:v>
                </c:pt>
                <c:pt idx="3">
                  <c:v>Millbrae-OC Gateway/                                    465miles</c:v>
                </c:pt>
                <c:pt idx="4">
                  <c:v>Millbrae-Long Beach/                                    476miles</c:v>
                </c:pt>
              </c:strCache>
            </c:strRef>
          </c:cat>
          <c:val>
            <c:numRef>
              <c:f>'RT Travel Non-Adjacent Regions'!$AS$44:$AS$48</c:f>
              <c:numCache>
                <c:formatCode>"$"#,##0</c:formatCode>
                <c:ptCount val="5"/>
                <c:pt idx="0">
                  <c:v>212.5</c:v>
                </c:pt>
                <c:pt idx="1">
                  <c:v>212.5</c:v>
                </c:pt>
                <c:pt idx="2">
                  <c:v>209</c:v>
                </c:pt>
                <c:pt idx="3">
                  <c:v>209</c:v>
                </c:pt>
                <c:pt idx="4">
                  <c:v>212.5</c:v>
                </c:pt>
              </c:numCache>
            </c:numRef>
          </c:val>
          <c:extLst>
            <c:ext xmlns:c16="http://schemas.microsoft.com/office/drawing/2014/chart" uri="{C3380CC4-5D6E-409C-BE32-E72D297353CC}">
              <c16:uniqueId val="{00000002-DD2C-3247-92FE-01E03E1F0A5A}"/>
            </c:ext>
          </c:extLst>
        </c:ser>
        <c:ser>
          <c:idx val="2"/>
          <c:order val="2"/>
          <c:tx>
            <c:strRef>
              <c:f>'RT Travel Non-Adjacent Regions'!$AT$43</c:f>
              <c:strCache>
                <c:ptCount val="1"/>
                <c:pt idx="0">
                  <c:v>Round trip airfares + $23 for access+egress costs and Remote Access Costs if applicable</c:v>
                </c:pt>
              </c:strCache>
            </c:strRef>
          </c:tx>
          <c:spPr>
            <a:pattFill prst="pct75">
              <a:fgClr>
                <a:srgbClr val="3366FF"/>
              </a:fgClr>
              <a:bgClr>
                <a:schemeClr val="bg1"/>
              </a:bgClr>
            </a:pattFill>
            <a:ln>
              <a:noFill/>
            </a:ln>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Regions'!$AQ$44:$AQ$48</c:f>
              <c:strCache>
                <c:ptCount val="5"/>
                <c:pt idx="0">
                  <c:v>Gilroy-Long Beach/                    413miles</c:v>
                </c:pt>
                <c:pt idx="1">
                  <c:v>San Jose-Long Beach/                         443miles</c:v>
                </c:pt>
                <c:pt idx="2">
                  <c:v>San Francisco-Burbank (BUR)/                    460miles</c:v>
                </c:pt>
                <c:pt idx="3">
                  <c:v>Millbrae-OC Gateway/                                    465miles</c:v>
                </c:pt>
                <c:pt idx="4">
                  <c:v>Millbrae-Long Beach/                                    476miles</c:v>
                </c:pt>
              </c:strCache>
            </c:strRef>
          </c:cat>
          <c:val>
            <c:numRef>
              <c:f>'RT Travel Non-Adjacent Regions'!$AT$44:$AT$48</c:f>
              <c:numCache>
                <c:formatCode>"$"#,##0</c:formatCode>
                <c:ptCount val="5"/>
                <c:pt idx="0">
                  <c:v>207</c:v>
                </c:pt>
                <c:pt idx="1">
                  <c:v>192</c:v>
                </c:pt>
                <c:pt idx="2">
                  <c:v>176</c:v>
                </c:pt>
                <c:pt idx="3">
                  <c:v>142</c:v>
                </c:pt>
                <c:pt idx="4">
                  <c:v>187</c:v>
                </c:pt>
              </c:numCache>
            </c:numRef>
          </c:val>
          <c:extLst>
            <c:ext xmlns:c16="http://schemas.microsoft.com/office/drawing/2014/chart" uri="{C3380CC4-5D6E-409C-BE32-E72D297353CC}">
              <c16:uniqueId val="{00000003-DD2C-3247-92FE-01E03E1F0A5A}"/>
            </c:ext>
          </c:extLst>
        </c:ser>
        <c:ser>
          <c:idx val="3"/>
          <c:order val="3"/>
          <c:tx>
            <c:strRef>
              <c:f>'RT Travel Non-Adjacent Regions'!$AU$43</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c:spPr>
          <c:invertIfNegative val="0"/>
          <c:dLbls>
            <c:dLbl>
              <c:idx val="2"/>
              <c:layout>
                <c:manualLayout>
                  <c:x val="-4.3264505674633899E-2"/>
                  <c:y val="4.8058245079390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64-3149-96D9-33828850FB0D}"/>
                </c:ext>
              </c:extLst>
            </c:dLbl>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Regions'!$AQ$44:$AQ$48</c:f>
              <c:strCache>
                <c:ptCount val="5"/>
                <c:pt idx="0">
                  <c:v>Gilroy-Long Beach/                    413miles</c:v>
                </c:pt>
                <c:pt idx="1">
                  <c:v>San Jose-Long Beach/                         443miles</c:v>
                </c:pt>
                <c:pt idx="2">
                  <c:v>San Francisco-Burbank (BUR)/                    460miles</c:v>
                </c:pt>
                <c:pt idx="3">
                  <c:v>Millbrae-OC Gateway/                                    465miles</c:v>
                </c:pt>
                <c:pt idx="4">
                  <c:v>Millbrae-Long Beach/                                    476miles</c:v>
                </c:pt>
              </c:strCache>
            </c:strRef>
          </c:cat>
          <c:val>
            <c:numRef>
              <c:f>'RT Travel Non-Adjacent Regions'!$AU$44:$AU$48</c:f>
              <c:numCache>
                <c:formatCode>#,##0</c:formatCode>
                <c:ptCount val="5"/>
                <c:pt idx="0">
                  <c:v>-98.5</c:v>
                </c:pt>
                <c:pt idx="1">
                  <c:v>-170.09999999999991</c:v>
                </c:pt>
                <c:pt idx="2">
                  <c:v>-260.89999999999998</c:v>
                </c:pt>
                <c:pt idx="3">
                  <c:v>-288.79999999999995</c:v>
                </c:pt>
                <c:pt idx="4">
                  <c:v>-247.99999999999989</c:v>
                </c:pt>
              </c:numCache>
            </c:numRef>
          </c:val>
          <c:extLst>
            <c:ext xmlns:c16="http://schemas.microsoft.com/office/drawing/2014/chart" uri="{C3380CC4-5D6E-409C-BE32-E72D297353CC}">
              <c16:uniqueId val="{00000004-DD2C-3247-92FE-01E03E1F0A5A}"/>
            </c:ext>
          </c:extLst>
        </c:ser>
        <c:ser>
          <c:idx val="4"/>
          <c:order val="4"/>
          <c:tx>
            <c:strRef>
              <c:f>'RT Travel Non-Adjacent Regions'!$AV$43</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c:spPr>
          <c:invertIfNegative val="0"/>
          <c:dLbls>
            <c:spPr>
              <a:noFill/>
              <a:ln w="25400">
                <a:noFill/>
              </a:ln>
            </c:spPr>
            <c:txPr>
              <a:bodyPr/>
              <a:lstStyle/>
              <a:p>
                <a:pPr>
                  <a:defRPr sz="600" b="1" i="0">
                    <a:solidFill>
                      <a:srgbClr val="0000FF"/>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Regions'!$AQ$44:$AQ$48</c:f>
              <c:strCache>
                <c:ptCount val="5"/>
                <c:pt idx="0">
                  <c:v>Gilroy-Long Beach/                    413miles</c:v>
                </c:pt>
                <c:pt idx="1">
                  <c:v>San Jose-Long Beach/                         443miles</c:v>
                </c:pt>
                <c:pt idx="2">
                  <c:v>San Francisco-Burbank (BUR)/                    460miles</c:v>
                </c:pt>
                <c:pt idx="3">
                  <c:v>Millbrae-OC Gateway/                                    465miles</c:v>
                </c:pt>
                <c:pt idx="4">
                  <c:v>Millbrae-Long Beach/                                    476miles</c:v>
                </c:pt>
              </c:strCache>
            </c:strRef>
          </c:cat>
          <c:val>
            <c:numRef>
              <c:f>'RT Travel Non-Adjacent Regions'!$AV$44:$AV$48</c:f>
              <c:numCache>
                <c:formatCode>#,##0</c:formatCode>
                <c:ptCount val="5"/>
                <c:pt idx="0">
                  <c:v>250</c:v>
                </c:pt>
                <c:pt idx="1">
                  <c:v>252</c:v>
                </c:pt>
                <c:pt idx="2">
                  <c:v>78</c:v>
                </c:pt>
                <c:pt idx="3">
                  <c:v>164</c:v>
                </c:pt>
                <c:pt idx="4">
                  <c:v>264</c:v>
                </c:pt>
              </c:numCache>
            </c:numRef>
          </c:val>
          <c:extLst>
            <c:ext xmlns:c16="http://schemas.microsoft.com/office/drawing/2014/chart" uri="{C3380CC4-5D6E-409C-BE32-E72D297353CC}">
              <c16:uniqueId val="{00000005-DD2C-3247-92FE-01E03E1F0A5A}"/>
            </c:ext>
          </c:extLst>
        </c:ser>
        <c:dLbls>
          <c:showLegendKey val="0"/>
          <c:showVal val="0"/>
          <c:showCatName val="0"/>
          <c:showSerName val="0"/>
          <c:showPercent val="0"/>
          <c:showBubbleSize val="0"/>
        </c:dLbls>
        <c:gapWidth val="50"/>
        <c:axId val="-2130182072"/>
        <c:axId val="-2130214008"/>
      </c:barChart>
      <c:catAx>
        <c:axId val="-2130182072"/>
        <c:scaling>
          <c:orientation val="minMax"/>
        </c:scaling>
        <c:delete val="0"/>
        <c:axPos val="b"/>
        <c:numFmt formatCode="General" sourceLinked="0"/>
        <c:majorTickMark val="out"/>
        <c:minorTickMark val="none"/>
        <c:tickLblPos val="low"/>
        <c:txPr>
          <a:bodyPr/>
          <a:lstStyle/>
          <a:p>
            <a:pPr>
              <a:defRPr sz="600" b="1" i="0"/>
            </a:pPr>
            <a:endParaRPr lang="en-US"/>
          </a:p>
        </c:txPr>
        <c:crossAx val="-2130214008"/>
        <c:crosses val="autoZero"/>
        <c:auto val="1"/>
        <c:lblAlgn val="ctr"/>
        <c:lblOffset val="100"/>
        <c:noMultiLvlLbl val="0"/>
      </c:catAx>
      <c:valAx>
        <c:axId val="-2130214008"/>
        <c:scaling>
          <c:orientation val="minMax"/>
          <c:max val="600"/>
          <c:min val="-320"/>
        </c:scaling>
        <c:delete val="0"/>
        <c:axPos val="l"/>
        <c:majorGridlines>
          <c:spPr>
            <a:ln w="12700" cmpd="sng">
              <a:prstDash val="sysDot"/>
            </a:ln>
          </c:spPr>
        </c:majorGridlines>
        <c:numFmt formatCode="&quot;$&quot;#,##0" sourceLinked="1"/>
        <c:majorTickMark val="out"/>
        <c:minorTickMark val="none"/>
        <c:tickLblPos val="nextTo"/>
        <c:txPr>
          <a:bodyPr/>
          <a:lstStyle/>
          <a:p>
            <a:pPr>
              <a:defRPr sz="500">
                <a:solidFill>
                  <a:srgbClr val="FF0000"/>
                </a:solidFill>
              </a:defRPr>
            </a:pPr>
            <a:endParaRPr lang="en-US"/>
          </a:p>
        </c:txPr>
        <c:crossAx val="-2130182072"/>
        <c:crosses val="autoZero"/>
        <c:crossBetween val="between"/>
      </c:valAx>
      <c:spPr>
        <a:noFill/>
        <a:ln w="25400">
          <a:noFill/>
        </a:ln>
      </c:spPr>
    </c:plotArea>
    <c:legend>
      <c:legendPos val="r"/>
      <c:layout>
        <c:manualLayout>
          <c:xMode val="edge"/>
          <c:yMode val="edge"/>
          <c:x val="0"/>
          <c:y val="5.8758225720314597E-2"/>
          <c:w val="0.83917909166038596"/>
          <c:h val="0.2544249210107466"/>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2" r="0.750000000000002"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5.1020492899149797E-2"/>
          <c:y val="0.04"/>
          <c:w val="0.921770238377975"/>
          <c:h val="0.86285714285714299"/>
        </c:manualLayout>
      </c:layout>
      <c:barChart>
        <c:barDir val="col"/>
        <c:grouping val="clustered"/>
        <c:varyColors val="0"/>
        <c:ser>
          <c:idx val="0"/>
          <c:order val="0"/>
          <c:tx>
            <c:strRef>
              <c:f>'RT Travel Non-Adjacent Regions'!$AR$64</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Regions'!$AQ$65:$AQ$69</c:f>
              <c:strCache>
                <c:ptCount val="5"/>
                <c:pt idx="0">
                  <c:v>Millbrae-Anaheim/                                    478miles</c:v>
                </c:pt>
                <c:pt idx="1">
                  <c:v>San Francisco-OC Gateway/              480miles</c:v>
                </c:pt>
                <c:pt idx="2">
                  <c:v>San Francisco-Long Beach/                                491miles</c:v>
                </c:pt>
                <c:pt idx="3">
                  <c:v>San Francisco-Anaheim/                                               493miles</c:v>
                </c:pt>
                <c:pt idx="4">
                  <c:v>San Jose-San Diego/                        546miles</c:v>
                </c:pt>
              </c:strCache>
            </c:strRef>
          </c:cat>
          <c:val>
            <c:numRef>
              <c:f>'RT Travel Non-Adjacent Regions'!$AR$65:$AR$69</c:f>
              <c:numCache>
                <c:formatCode>"$"#,##0</c:formatCode>
                <c:ptCount val="5"/>
                <c:pt idx="0">
                  <c:v>184.92000000000002</c:v>
                </c:pt>
                <c:pt idx="1">
                  <c:v>181.70000000000002</c:v>
                </c:pt>
                <c:pt idx="2">
                  <c:v>185.38</c:v>
                </c:pt>
                <c:pt idx="3">
                  <c:v>188.14000000000001</c:v>
                </c:pt>
                <c:pt idx="4">
                  <c:v>211.60000000000002</c:v>
                </c:pt>
              </c:numCache>
            </c:numRef>
          </c:val>
          <c:extLst>
            <c:ext xmlns:c16="http://schemas.microsoft.com/office/drawing/2014/chart" uri="{C3380CC4-5D6E-409C-BE32-E72D297353CC}">
              <c16:uniqueId val="{00000002-60CD-BA4B-A35F-6D0A0EBCC312}"/>
            </c:ext>
          </c:extLst>
        </c:ser>
        <c:ser>
          <c:idx val="1"/>
          <c:order val="1"/>
          <c:tx>
            <c:strRef>
              <c:f>'RT Travel Non-Adjacent Regions'!$AS$64</c:f>
              <c:strCache>
                <c:ptCount val="1"/>
                <c:pt idx="0">
                  <c:v>False Phase 1:  Per person cost of inter-regional round-trip using HSR; based on Table 2.2 fares</c:v>
                </c:pt>
              </c:strCache>
            </c:strRef>
          </c:tx>
          <c:spPr>
            <a:pattFill prst="dkUpDiag">
              <a:fgClr>
                <a:srgbClr val="FF0000"/>
              </a:fgClr>
              <a:bgClr>
                <a:schemeClr val="bg1"/>
              </a:bgClr>
            </a:pattFill>
            <a:ln>
              <a:noFill/>
            </a:ln>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Regions'!$AQ$65:$AQ$69</c:f>
              <c:strCache>
                <c:ptCount val="5"/>
                <c:pt idx="0">
                  <c:v>Millbrae-Anaheim/                                    478miles</c:v>
                </c:pt>
                <c:pt idx="1">
                  <c:v>San Francisco-OC Gateway/              480miles</c:v>
                </c:pt>
                <c:pt idx="2">
                  <c:v>San Francisco-Long Beach/                                491miles</c:v>
                </c:pt>
                <c:pt idx="3">
                  <c:v>San Francisco-Anaheim/                                               493miles</c:v>
                </c:pt>
                <c:pt idx="4">
                  <c:v>San Jose-San Diego/                        546miles</c:v>
                </c:pt>
              </c:strCache>
            </c:strRef>
          </c:cat>
          <c:val>
            <c:numRef>
              <c:f>'RT Travel Non-Adjacent Regions'!$AS$65:$AS$69</c:f>
              <c:numCache>
                <c:formatCode>"$"#,##0</c:formatCode>
                <c:ptCount val="5"/>
                <c:pt idx="0">
                  <c:v>209</c:v>
                </c:pt>
                <c:pt idx="1">
                  <c:v>209</c:v>
                </c:pt>
                <c:pt idx="2">
                  <c:v>212.5</c:v>
                </c:pt>
                <c:pt idx="3">
                  <c:v>209</c:v>
                </c:pt>
                <c:pt idx="4">
                  <c:v>280.3</c:v>
                </c:pt>
              </c:numCache>
            </c:numRef>
          </c:val>
          <c:extLst>
            <c:ext xmlns:c16="http://schemas.microsoft.com/office/drawing/2014/chart" uri="{C3380CC4-5D6E-409C-BE32-E72D297353CC}">
              <c16:uniqueId val="{00000003-60CD-BA4B-A35F-6D0A0EBCC312}"/>
            </c:ext>
          </c:extLst>
        </c:ser>
        <c:ser>
          <c:idx val="2"/>
          <c:order val="2"/>
          <c:tx>
            <c:strRef>
              <c:f>'RT Travel Non-Adjacent Regions'!$AT$64</c:f>
              <c:strCache>
                <c:ptCount val="1"/>
                <c:pt idx="0">
                  <c:v>Round trip airfares + $23 for access+egress costs and Remote Access Costs if applicable</c:v>
                </c:pt>
              </c:strCache>
            </c:strRef>
          </c:tx>
          <c:spPr>
            <a:pattFill prst="pct75">
              <a:fgClr>
                <a:srgbClr val="3366FF"/>
              </a:fgClr>
              <a:bgClr>
                <a:schemeClr val="bg1"/>
              </a:bgClr>
            </a:pattFill>
            <a:ln>
              <a:noFill/>
            </a:ln>
          </c:spPr>
          <c:invertIfNegative val="0"/>
          <c:dLbls>
            <c:spPr>
              <a:noFill/>
              <a:ln w="25400">
                <a:noFill/>
              </a:ln>
            </c:spPr>
            <c:txPr>
              <a:bodyPr/>
              <a:lstStyle/>
              <a:p>
                <a:pPr>
                  <a:defRPr sz="6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Regions'!$AQ$65:$AQ$69</c:f>
              <c:strCache>
                <c:ptCount val="5"/>
                <c:pt idx="0">
                  <c:v>Millbrae-Anaheim/                                    478miles</c:v>
                </c:pt>
                <c:pt idx="1">
                  <c:v>San Francisco-OC Gateway/              480miles</c:v>
                </c:pt>
                <c:pt idx="2">
                  <c:v>San Francisco-Long Beach/                                491miles</c:v>
                </c:pt>
                <c:pt idx="3">
                  <c:v>San Francisco-Anaheim/                                               493miles</c:v>
                </c:pt>
                <c:pt idx="4">
                  <c:v>San Jose-San Diego/                        546miles</c:v>
                </c:pt>
              </c:strCache>
            </c:strRef>
          </c:cat>
          <c:val>
            <c:numRef>
              <c:f>'RT Travel Non-Adjacent Regions'!$AT$65:$AT$69</c:f>
              <c:numCache>
                <c:formatCode>"$"#,##0</c:formatCode>
                <c:ptCount val="5"/>
                <c:pt idx="0">
                  <c:v>142</c:v>
                </c:pt>
                <c:pt idx="1">
                  <c:v>127</c:v>
                </c:pt>
                <c:pt idx="2">
                  <c:v>172</c:v>
                </c:pt>
                <c:pt idx="3">
                  <c:v>127</c:v>
                </c:pt>
                <c:pt idx="4">
                  <c:v>217</c:v>
                </c:pt>
              </c:numCache>
            </c:numRef>
          </c:val>
          <c:extLst>
            <c:ext xmlns:c16="http://schemas.microsoft.com/office/drawing/2014/chart" uri="{C3380CC4-5D6E-409C-BE32-E72D297353CC}">
              <c16:uniqueId val="{00000004-60CD-BA4B-A35F-6D0A0EBCC312}"/>
            </c:ext>
          </c:extLst>
        </c:ser>
        <c:ser>
          <c:idx val="3"/>
          <c:order val="3"/>
          <c:tx>
            <c:strRef>
              <c:f>'RT Travel Non-Adjacent Regions'!$AU$64</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c:spPr>
          <c:invertIfNegative val="0"/>
          <c:dLbls>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Regions'!$AQ$65:$AQ$69</c:f>
              <c:strCache>
                <c:ptCount val="5"/>
                <c:pt idx="0">
                  <c:v>Millbrae-Anaheim/                                    478miles</c:v>
                </c:pt>
                <c:pt idx="1">
                  <c:v>San Francisco-OC Gateway/              480miles</c:v>
                </c:pt>
                <c:pt idx="2">
                  <c:v>San Francisco-Long Beach/                                491miles</c:v>
                </c:pt>
                <c:pt idx="3">
                  <c:v>San Francisco-Anaheim/                                               493miles</c:v>
                </c:pt>
                <c:pt idx="4">
                  <c:v>San Jose-San Diego/                        546miles</c:v>
                </c:pt>
              </c:strCache>
            </c:strRef>
          </c:cat>
          <c:val>
            <c:numRef>
              <c:f>'RT Travel Non-Adjacent Regions'!$AU$65:$AU$69</c:f>
              <c:numCache>
                <c:formatCode>#,##0</c:formatCode>
                <c:ptCount val="5"/>
                <c:pt idx="0">
                  <c:v>-255.59999999999991</c:v>
                </c:pt>
                <c:pt idx="1">
                  <c:v>-250.79999999999995</c:v>
                </c:pt>
                <c:pt idx="2">
                  <c:v>-173.19999999999993</c:v>
                </c:pt>
                <c:pt idx="3">
                  <c:v>-258.99999999999989</c:v>
                </c:pt>
                <c:pt idx="4">
                  <c:v>-134.59999999999991</c:v>
                </c:pt>
              </c:numCache>
            </c:numRef>
          </c:val>
          <c:extLst>
            <c:ext xmlns:c16="http://schemas.microsoft.com/office/drawing/2014/chart" uri="{C3380CC4-5D6E-409C-BE32-E72D297353CC}">
              <c16:uniqueId val="{00000005-60CD-BA4B-A35F-6D0A0EBCC312}"/>
            </c:ext>
          </c:extLst>
        </c:ser>
        <c:ser>
          <c:idx val="4"/>
          <c:order val="4"/>
          <c:tx>
            <c:strRef>
              <c:f>'RT Travel Non-Adjacent Regions'!$AV$64</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c:spPr>
          <c:invertIfNegative val="0"/>
          <c:dLbls>
            <c:spPr>
              <a:noFill/>
              <a:ln w="25400">
                <a:noFill/>
              </a:ln>
            </c:spPr>
            <c:txPr>
              <a:bodyPr/>
              <a:lstStyle/>
              <a:p>
                <a:pPr>
                  <a:defRPr sz="600" b="1">
                    <a:solidFill>
                      <a:srgbClr val="00009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Regions'!$AQ$65:$AQ$69</c:f>
              <c:strCache>
                <c:ptCount val="5"/>
                <c:pt idx="0">
                  <c:v>Millbrae-Anaheim/                                    478miles</c:v>
                </c:pt>
                <c:pt idx="1">
                  <c:v>San Francisco-OC Gateway/              480miles</c:v>
                </c:pt>
                <c:pt idx="2">
                  <c:v>San Francisco-Long Beach/                                491miles</c:v>
                </c:pt>
                <c:pt idx="3">
                  <c:v>San Francisco-Anaheim/                                               493miles</c:v>
                </c:pt>
                <c:pt idx="4">
                  <c:v>San Jose-San Diego/                        546miles</c:v>
                </c:pt>
              </c:strCache>
            </c:strRef>
          </c:cat>
          <c:val>
            <c:numRef>
              <c:f>'RT Travel Non-Adjacent Regions'!$AV$65:$AV$69</c:f>
              <c:numCache>
                <c:formatCode>#,##0</c:formatCode>
                <c:ptCount val="5"/>
                <c:pt idx="0">
                  <c:v>188</c:v>
                </c:pt>
                <c:pt idx="1">
                  <c:v>202</c:v>
                </c:pt>
                <c:pt idx="2">
                  <c:v>302</c:v>
                </c:pt>
                <c:pt idx="3">
                  <c:v>226</c:v>
                </c:pt>
                <c:pt idx="4">
                  <c:v>436</c:v>
                </c:pt>
              </c:numCache>
            </c:numRef>
          </c:val>
          <c:extLst>
            <c:ext xmlns:c16="http://schemas.microsoft.com/office/drawing/2014/chart" uri="{C3380CC4-5D6E-409C-BE32-E72D297353CC}">
              <c16:uniqueId val="{00000006-60CD-BA4B-A35F-6D0A0EBCC312}"/>
            </c:ext>
          </c:extLst>
        </c:ser>
        <c:dLbls>
          <c:showLegendKey val="0"/>
          <c:showVal val="0"/>
          <c:showCatName val="0"/>
          <c:showSerName val="0"/>
          <c:showPercent val="0"/>
          <c:showBubbleSize val="0"/>
        </c:dLbls>
        <c:gapWidth val="50"/>
        <c:axId val="-2130119848"/>
        <c:axId val="-2130116808"/>
      </c:barChart>
      <c:catAx>
        <c:axId val="-2130119848"/>
        <c:scaling>
          <c:orientation val="minMax"/>
        </c:scaling>
        <c:delete val="0"/>
        <c:axPos val="b"/>
        <c:numFmt formatCode="General" sourceLinked="0"/>
        <c:majorTickMark val="out"/>
        <c:minorTickMark val="none"/>
        <c:tickLblPos val="low"/>
        <c:txPr>
          <a:bodyPr/>
          <a:lstStyle/>
          <a:p>
            <a:pPr>
              <a:defRPr sz="600" b="1" i="0"/>
            </a:pPr>
            <a:endParaRPr lang="en-US"/>
          </a:p>
        </c:txPr>
        <c:crossAx val="-2130116808"/>
        <c:crosses val="autoZero"/>
        <c:auto val="1"/>
        <c:lblAlgn val="ctr"/>
        <c:lblOffset val="100"/>
        <c:noMultiLvlLbl val="0"/>
      </c:catAx>
      <c:valAx>
        <c:axId val="-2130116808"/>
        <c:scaling>
          <c:orientation val="minMax"/>
          <c:max val="750"/>
          <c:min val="-300"/>
        </c:scaling>
        <c:delete val="0"/>
        <c:axPos val="l"/>
        <c:majorGridlines>
          <c:spPr>
            <a:ln w="12700" cmpd="sng">
              <a:prstDash val="sysDot"/>
            </a:ln>
          </c:spPr>
        </c:majorGridlines>
        <c:numFmt formatCode="&quot;$&quot;#,##0" sourceLinked="1"/>
        <c:majorTickMark val="out"/>
        <c:minorTickMark val="none"/>
        <c:tickLblPos val="nextTo"/>
        <c:txPr>
          <a:bodyPr/>
          <a:lstStyle/>
          <a:p>
            <a:pPr>
              <a:defRPr sz="500">
                <a:solidFill>
                  <a:srgbClr val="FF0000"/>
                </a:solidFill>
              </a:defRPr>
            </a:pPr>
            <a:endParaRPr lang="en-US"/>
          </a:p>
        </c:txPr>
        <c:crossAx val="-2130119848"/>
        <c:crosses val="autoZero"/>
        <c:crossBetween val="between"/>
      </c:valAx>
      <c:spPr>
        <a:noFill/>
        <a:ln w="25400">
          <a:noFill/>
        </a:ln>
      </c:spPr>
    </c:plotArea>
    <c:legend>
      <c:legendPos val="r"/>
      <c:layout>
        <c:manualLayout>
          <c:xMode val="edge"/>
          <c:yMode val="edge"/>
          <c:x val="0"/>
          <c:y val="9.8642844532325857E-2"/>
          <c:w val="0.89458511372085314"/>
          <c:h val="0.254285714285714"/>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2" r="0.750000000000002"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'RT Travel Non-Adjacent Regions'!$AR$86</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Regions'!$AQ$87:$AQ$92</c:f>
              <c:strCache>
                <c:ptCount val="6"/>
                <c:pt idx="0">
                  <c:v>Oakland-Palmdale/                                  419miles</c:v>
                </c:pt>
                <c:pt idx="1">
                  <c:v>Oakland-Burbank (BUR)/                        470miles</c:v>
                </c:pt>
                <c:pt idx="2">
                  <c:v>Oakland-Los Angeles/                                            476miles</c:v>
                </c:pt>
                <c:pt idx="3">
                  <c:v>Oakland-OC Gateway/                    490miles</c:v>
                </c:pt>
                <c:pt idx="4">
                  <c:v>Oakland-Long Beach/                    495miles</c:v>
                </c:pt>
                <c:pt idx="5">
                  <c:v>Oakland-Anaheim/                                  503miles</c:v>
                </c:pt>
              </c:strCache>
            </c:strRef>
          </c:cat>
          <c:val>
            <c:numRef>
              <c:f>'RT Travel Non-Adjacent Regions'!$AR$87:$AR$92</c:f>
              <c:numCache>
                <c:formatCode>"$"#,##0</c:formatCode>
                <c:ptCount val="6"/>
                <c:pt idx="0">
                  <c:v>165.14000000000001</c:v>
                </c:pt>
                <c:pt idx="1">
                  <c:v>164.22</c:v>
                </c:pt>
                <c:pt idx="2">
                  <c:v>171.12</c:v>
                </c:pt>
                <c:pt idx="3">
                  <c:v>177.1</c:v>
                </c:pt>
                <c:pt idx="4">
                  <c:v>182.62</c:v>
                </c:pt>
                <c:pt idx="5">
                  <c:v>184.46</c:v>
                </c:pt>
              </c:numCache>
            </c:numRef>
          </c:val>
          <c:extLst>
            <c:ext xmlns:c16="http://schemas.microsoft.com/office/drawing/2014/chart" uri="{C3380CC4-5D6E-409C-BE32-E72D297353CC}">
              <c16:uniqueId val="{00000003-109C-A941-A57E-A1E67F487F6D}"/>
            </c:ext>
          </c:extLst>
        </c:ser>
        <c:ser>
          <c:idx val="1"/>
          <c:order val="1"/>
          <c:tx>
            <c:strRef>
              <c:f>'RT Travel Non-Adjacent Regions'!$AS$86</c:f>
              <c:strCache>
                <c:ptCount val="1"/>
                <c:pt idx="0">
                  <c:v>False Phase 1:  Per person cost of inter-regional round-trip using HSR; based on Table 2.2 fares</c:v>
                </c:pt>
              </c:strCache>
            </c:strRef>
          </c:tx>
          <c:spPr>
            <a:pattFill prst="dkUpDiag">
              <a:fgClr>
                <a:srgbClr val="FF0000"/>
              </a:fgClr>
              <a:bgClr>
                <a:schemeClr val="bg1"/>
              </a:bgClr>
            </a:pattFill>
            <a:ln>
              <a:noFill/>
            </a:ln>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Regions'!$AQ$87:$AQ$92</c:f>
              <c:strCache>
                <c:ptCount val="6"/>
                <c:pt idx="0">
                  <c:v>Oakland-Palmdale/                                  419miles</c:v>
                </c:pt>
                <c:pt idx="1">
                  <c:v>Oakland-Burbank (BUR)/                        470miles</c:v>
                </c:pt>
                <c:pt idx="2">
                  <c:v>Oakland-Los Angeles/                                            476miles</c:v>
                </c:pt>
                <c:pt idx="3">
                  <c:v>Oakland-OC Gateway/                    490miles</c:v>
                </c:pt>
                <c:pt idx="4">
                  <c:v>Oakland-Long Beach/                    495miles</c:v>
                </c:pt>
                <c:pt idx="5">
                  <c:v>Oakland-Anaheim/                                  503miles</c:v>
                </c:pt>
              </c:strCache>
            </c:strRef>
          </c:cat>
          <c:val>
            <c:numRef>
              <c:f>'RT Travel Non-Adjacent Regions'!$AS$87:$AS$92</c:f>
              <c:numCache>
                <c:formatCode>"$"#,##0</c:formatCode>
                <c:ptCount val="6"/>
                <c:pt idx="0">
                  <c:v>215.9</c:v>
                </c:pt>
                <c:pt idx="1">
                  <c:v>215.9</c:v>
                </c:pt>
                <c:pt idx="2">
                  <c:v>215.9</c:v>
                </c:pt>
                <c:pt idx="3">
                  <c:v>215.9</c:v>
                </c:pt>
                <c:pt idx="4">
                  <c:v>219.4</c:v>
                </c:pt>
                <c:pt idx="5">
                  <c:v>215.9</c:v>
                </c:pt>
              </c:numCache>
            </c:numRef>
          </c:val>
          <c:extLst>
            <c:ext xmlns:c16="http://schemas.microsoft.com/office/drawing/2014/chart" uri="{C3380CC4-5D6E-409C-BE32-E72D297353CC}">
              <c16:uniqueId val="{00000004-109C-A941-A57E-A1E67F487F6D}"/>
            </c:ext>
          </c:extLst>
        </c:ser>
        <c:ser>
          <c:idx val="2"/>
          <c:order val="2"/>
          <c:tx>
            <c:strRef>
              <c:f>'RT Travel Non-Adjacent Regions'!$AT$86</c:f>
              <c:strCache>
                <c:ptCount val="1"/>
                <c:pt idx="0">
                  <c:v>Round trip airfares + $23 for access+egress costs and Remote Access Costs if applicable</c:v>
                </c:pt>
              </c:strCache>
            </c:strRef>
          </c:tx>
          <c:spPr>
            <a:pattFill prst="pct75">
              <a:fgClr>
                <a:srgbClr val="3366FF"/>
              </a:fgClr>
              <a:bgClr>
                <a:schemeClr val="bg1"/>
              </a:bgClr>
            </a:pattFill>
            <a:ln>
              <a:noFill/>
            </a:ln>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Regions'!$AQ$87:$AQ$92</c:f>
              <c:strCache>
                <c:ptCount val="6"/>
                <c:pt idx="0">
                  <c:v>Oakland-Palmdale/                                  419miles</c:v>
                </c:pt>
                <c:pt idx="1">
                  <c:v>Oakland-Burbank (BUR)/                        470miles</c:v>
                </c:pt>
                <c:pt idx="2">
                  <c:v>Oakland-Los Angeles/                                            476miles</c:v>
                </c:pt>
                <c:pt idx="3">
                  <c:v>Oakland-OC Gateway/                    490miles</c:v>
                </c:pt>
                <c:pt idx="4">
                  <c:v>Oakland-Long Beach/                    495miles</c:v>
                </c:pt>
                <c:pt idx="5">
                  <c:v>Oakland-Anaheim/                                  503miles</c:v>
                </c:pt>
              </c:strCache>
            </c:strRef>
          </c:cat>
          <c:val>
            <c:numRef>
              <c:f>'RT Travel Non-Adjacent Regions'!$AT$87:$AT$92</c:f>
              <c:numCache>
                <c:formatCode>"$"#,##0</c:formatCode>
                <c:ptCount val="6"/>
                <c:pt idx="0">
                  <c:v>137</c:v>
                </c:pt>
                <c:pt idx="1">
                  <c:v>137</c:v>
                </c:pt>
                <c:pt idx="2">
                  <c:v>106</c:v>
                </c:pt>
                <c:pt idx="3">
                  <c:v>121</c:v>
                </c:pt>
                <c:pt idx="4">
                  <c:v>137</c:v>
                </c:pt>
                <c:pt idx="5">
                  <c:v>121</c:v>
                </c:pt>
              </c:numCache>
            </c:numRef>
          </c:val>
          <c:extLst>
            <c:ext xmlns:c16="http://schemas.microsoft.com/office/drawing/2014/chart" uri="{C3380CC4-5D6E-409C-BE32-E72D297353CC}">
              <c16:uniqueId val="{00000005-109C-A941-A57E-A1E67F487F6D}"/>
            </c:ext>
          </c:extLst>
        </c:ser>
        <c:ser>
          <c:idx val="3"/>
          <c:order val="3"/>
          <c:tx>
            <c:strRef>
              <c:f>'RT Travel Non-Adjacent Regions'!$AU$86</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c:spPr>
          <c:invertIfNegative val="0"/>
          <c:dLbls>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Regions'!$AQ$87:$AQ$92</c:f>
              <c:strCache>
                <c:ptCount val="6"/>
                <c:pt idx="0">
                  <c:v>Oakland-Palmdale/                                  419miles</c:v>
                </c:pt>
                <c:pt idx="1">
                  <c:v>Oakland-Burbank (BUR)/                        470miles</c:v>
                </c:pt>
                <c:pt idx="2">
                  <c:v>Oakland-Los Angeles/                                            476miles</c:v>
                </c:pt>
                <c:pt idx="3">
                  <c:v>Oakland-OC Gateway/                    490miles</c:v>
                </c:pt>
                <c:pt idx="4">
                  <c:v>Oakland-Long Beach/                    495miles</c:v>
                </c:pt>
                <c:pt idx="5">
                  <c:v>Oakland-Anaheim/                                  503miles</c:v>
                </c:pt>
              </c:strCache>
            </c:strRef>
          </c:cat>
          <c:val>
            <c:numRef>
              <c:f>'RT Travel Non-Adjacent Regions'!$AU$87:$AU$92</c:f>
              <c:numCache>
                <c:formatCode>#,##0</c:formatCode>
                <c:ptCount val="6"/>
                <c:pt idx="0">
                  <c:v>-91.499999999999886</c:v>
                </c:pt>
                <c:pt idx="1">
                  <c:v>-180</c:v>
                </c:pt>
                <c:pt idx="2">
                  <c:v>-183.09999999999991</c:v>
                </c:pt>
                <c:pt idx="3">
                  <c:v>-128.49999999999989</c:v>
                </c:pt>
                <c:pt idx="4">
                  <c:v>-67.299999999999955</c:v>
                </c:pt>
                <c:pt idx="5">
                  <c:v>-155.09999999999991</c:v>
                </c:pt>
              </c:numCache>
            </c:numRef>
          </c:val>
          <c:extLst>
            <c:ext xmlns:c16="http://schemas.microsoft.com/office/drawing/2014/chart" uri="{C3380CC4-5D6E-409C-BE32-E72D297353CC}">
              <c16:uniqueId val="{00000006-109C-A941-A57E-A1E67F487F6D}"/>
            </c:ext>
          </c:extLst>
        </c:ser>
        <c:ser>
          <c:idx val="4"/>
          <c:order val="4"/>
          <c:tx>
            <c:strRef>
              <c:f>'RT Travel Non-Adjacent Regions'!$AV$86</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c:spPr>
          <c:invertIfNegative val="0"/>
          <c:dLbls>
            <c:spPr>
              <a:noFill/>
              <a:ln w="25400">
                <a:noFill/>
              </a:ln>
            </c:spPr>
            <c:txPr>
              <a:bodyPr/>
              <a:lstStyle/>
              <a:p>
                <a:pPr>
                  <a:defRPr sz="600" b="1" i="0">
                    <a:solidFill>
                      <a:srgbClr val="0000FF"/>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Travel Non-Adjacent Regions'!$AQ$87:$AQ$92</c:f>
              <c:strCache>
                <c:ptCount val="6"/>
                <c:pt idx="0">
                  <c:v>Oakland-Palmdale/                                  419miles</c:v>
                </c:pt>
                <c:pt idx="1">
                  <c:v>Oakland-Burbank (BUR)/                        470miles</c:v>
                </c:pt>
                <c:pt idx="2">
                  <c:v>Oakland-Los Angeles/                                            476miles</c:v>
                </c:pt>
                <c:pt idx="3">
                  <c:v>Oakland-OC Gateway/                    490miles</c:v>
                </c:pt>
                <c:pt idx="4">
                  <c:v>Oakland-Long Beach/                    495miles</c:v>
                </c:pt>
                <c:pt idx="5">
                  <c:v>Oakland-Anaheim/                                  503miles</c:v>
                </c:pt>
              </c:strCache>
            </c:strRef>
          </c:cat>
          <c:val>
            <c:numRef>
              <c:f>'RT Travel Non-Adjacent Regions'!$AV$87:$AV$92</c:f>
              <c:numCache>
                <c:formatCode>#,##0</c:formatCode>
                <c:ptCount val="6"/>
                <c:pt idx="0">
                  <c:v>264</c:v>
                </c:pt>
                <c:pt idx="1">
                  <c:v>164</c:v>
                </c:pt>
                <c:pt idx="2">
                  <c:v>180</c:v>
                </c:pt>
                <c:pt idx="3">
                  <c:v>276</c:v>
                </c:pt>
                <c:pt idx="4">
                  <c:v>374</c:v>
                </c:pt>
                <c:pt idx="5">
                  <c:v>300</c:v>
                </c:pt>
              </c:numCache>
            </c:numRef>
          </c:val>
          <c:extLst>
            <c:ext xmlns:c16="http://schemas.microsoft.com/office/drawing/2014/chart" uri="{C3380CC4-5D6E-409C-BE32-E72D297353CC}">
              <c16:uniqueId val="{00000007-109C-A941-A57E-A1E67F487F6D}"/>
            </c:ext>
          </c:extLst>
        </c:ser>
        <c:dLbls>
          <c:showLegendKey val="0"/>
          <c:showVal val="0"/>
          <c:showCatName val="0"/>
          <c:showSerName val="0"/>
          <c:showPercent val="0"/>
          <c:showBubbleSize val="0"/>
        </c:dLbls>
        <c:gapWidth val="50"/>
        <c:axId val="-2129818952"/>
        <c:axId val="-2129815912"/>
      </c:barChart>
      <c:catAx>
        <c:axId val="-2129818952"/>
        <c:scaling>
          <c:orientation val="minMax"/>
        </c:scaling>
        <c:delete val="0"/>
        <c:axPos val="b"/>
        <c:numFmt formatCode="General" sourceLinked="0"/>
        <c:majorTickMark val="out"/>
        <c:minorTickMark val="none"/>
        <c:tickLblPos val="low"/>
        <c:txPr>
          <a:bodyPr/>
          <a:lstStyle/>
          <a:p>
            <a:pPr>
              <a:defRPr sz="600" b="1" i="0"/>
            </a:pPr>
            <a:endParaRPr lang="en-US"/>
          </a:p>
        </c:txPr>
        <c:crossAx val="-2129815912"/>
        <c:crosses val="autoZero"/>
        <c:auto val="1"/>
        <c:lblAlgn val="ctr"/>
        <c:lblOffset val="100"/>
        <c:noMultiLvlLbl val="0"/>
      </c:catAx>
      <c:valAx>
        <c:axId val="-2129815912"/>
        <c:scaling>
          <c:orientation val="minMax"/>
          <c:max val="500"/>
          <c:min val="-200"/>
        </c:scaling>
        <c:delete val="0"/>
        <c:axPos val="l"/>
        <c:majorGridlines>
          <c:spPr>
            <a:ln w="12700" cmpd="sng">
              <a:solidFill>
                <a:schemeClr val="bg1">
                  <a:lumMod val="65000"/>
                </a:schemeClr>
              </a:solidFill>
              <a:prstDash val="sysDash"/>
            </a:ln>
          </c:spPr>
        </c:majorGridlines>
        <c:numFmt formatCode="&quot;$&quot;#,##0" sourceLinked="1"/>
        <c:majorTickMark val="out"/>
        <c:minorTickMark val="none"/>
        <c:tickLblPos val="low"/>
        <c:txPr>
          <a:bodyPr/>
          <a:lstStyle/>
          <a:p>
            <a:pPr>
              <a:defRPr sz="500">
                <a:solidFill>
                  <a:srgbClr val="FF0000"/>
                </a:solidFill>
              </a:defRPr>
            </a:pPr>
            <a:endParaRPr lang="en-US"/>
          </a:p>
        </c:txPr>
        <c:crossAx val="-2129818952"/>
        <c:crosses val="autoZero"/>
        <c:crossBetween val="between"/>
      </c:valAx>
      <c:spPr>
        <a:noFill/>
        <a:ln w="25400">
          <a:noFill/>
        </a:ln>
      </c:spPr>
    </c:plotArea>
    <c:legend>
      <c:legendPos val="r"/>
      <c:layout>
        <c:manualLayout>
          <c:xMode val="edge"/>
          <c:yMode val="edge"/>
          <c:x val="0"/>
          <c:y val="7.3620944115505682E-2"/>
          <c:w val="0.77799548772020233"/>
          <c:h val="0.24415951471631597"/>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2" r="0.750000000000002"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220253718285197E-2"/>
          <c:y val="3.7037037037037E-2"/>
          <c:w val="0.94922419072615905"/>
          <c:h val="0.94337510027562199"/>
        </c:manualLayout>
      </c:layout>
      <c:barChart>
        <c:barDir val="col"/>
        <c:grouping val="clustered"/>
        <c:varyColors val="0"/>
        <c:ser>
          <c:idx val="0"/>
          <c:order val="0"/>
          <c:tx>
            <c:strRef>
              <c:f>'RT Travel Non-Adjacent Regions'!$AR$129</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dLbl>
              <c:idx val="0"/>
              <c:layout>
                <c:manualLayout>
                  <c:x val="0"/>
                  <c:y val="4.8000015118114997E-2"/>
                </c:manualLayout>
              </c:layout>
              <c:spPr>
                <a:noFill/>
                <a:ln>
                  <a:noFill/>
                </a:ln>
                <a:effectLst/>
              </c:spPr>
              <c:txPr>
                <a:bodyPr rot="0" spcFirstLastPara="1" vertOverflow="ellipsis" vert="horz" wrap="square" lIns="38100" tIns="19050" rIns="38100" bIns="19050" anchor="ctr" anchorCtr="1">
                  <a:spAutoFit/>
                </a:bodyPr>
                <a:lstStyle/>
                <a:p>
                  <a:pPr>
                    <a:defRPr sz="65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10-474A-9BA9-EC18E204CACF}"/>
                </c:ext>
              </c:extLst>
            </c:dLbl>
            <c:dLbl>
              <c:idx val="2"/>
              <c:layout>
                <c:manualLayout>
                  <c:x val="0"/>
                  <c:y val="5.5555555555555497E-2"/>
                </c:manualLayout>
              </c:layout>
              <c:spPr>
                <a:noFill/>
                <a:ln>
                  <a:noFill/>
                </a:ln>
                <a:effectLst/>
              </c:spPr>
              <c:txPr>
                <a:bodyPr rot="0" spcFirstLastPara="1" vertOverflow="ellipsis" vert="horz" wrap="square" lIns="38100" tIns="19050" rIns="38100" bIns="19050" anchor="ctr" anchorCtr="1">
                  <a:spAutoFit/>
                </a:bodyPr>
                <a:lstStyle/>
                <a:p>
                  <a:pPr>
                    <a:defRPr sz="65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0-474A-9BA9-EC18E204CACF}"/>
                </c:ext>
              </c:extLst>
            </c:dLbl>
            <c:dLbl>
              <c:idx val="3"/>
              <c:layout>
                <c:manualLayout>
                  <c:x val="0"/>
                  <c:y val="7.4074074074074098E-2"/>
                </c:manualLayout>
              </c:layout>
              <c:spPr>
                <a:noFill/>
                <a:ln>
                  <a:noFill/>
                </a:ln>
                <a:effectLst/>
              </c:spPr>
              <c:txPr>
                <a:bodyPr rot="0" spcFirstLastPara="1" vertOverflow="ellipsis" vert="horz" wrap="square" lIns="38100" tIns="19050" rIns="38100" bIns="19050" anchor="ctr" anchorCtr="1">
                  <a:spAutoFit/>
                </a:bodyPr>
                <a:lstStyle/>
                <a:p>
                  <a:pPr>
                    <a:defRPr sz="65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10-474A-9BA9-EC18E204CACF}"/>
                </c:ext>
              </c:extLst>
            </c:dLbl>
            <c:spPr>
              <a:noFill/>
              <a:ln>
                <a:noFill/>
              </a:ln>
              <a:effectLst/>
            </c:spPr>
            <c:txPr>
              <a:bodyPr rot="0" spcFirstLastPara="1" vertOverflow="ellipsis" vert="horz" wrap="square" lIns="38100" tIns="19050" rIns="38100" bIns="19050" anchor="ctr" anchorCtr="1">
                <a:spAutoFit/>
              </a:bodyPr>
              <a:lstStyle/>
              <a:p>
                <a:pPr>
                  <a:defRPr sz="650" b="1" i="0" u="none" strike="noStrike" kern="1200" baseline="0">
                    <a:solidFill>
                      <a:srgbClr val="00009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Regions'!$AQ$130:$AQ$134</c:f>
              <c:strCache>
                <c:ptCount val="5"/>
                <c:pt idx="0">
                  <c:v>San Diego-Millbrae/                      493miles</c:v>
                </c:pt>
                <c:pt idx="1">
                  <c:v>San Diego-Stockton/                        521miles</c:v>
                </c:pt>
                <c:pt idx="2">
                  <c:v>San Diego-Sacramento/                 560miles</c:v>
                </c:pt>
                <c:pt idx="3">
                  <c:v>San Diego-San Francisco/                         598miles</c:v>
                </c:pt>
                <c:pt idx="4">
                  <c:v>San Diego-Oakland/                594miles</c:v>
                </c:pt>
              </c:strCache>
            </c:strRef>
          </c:cat>
          <c:val>
            <c:numRef>
              <c:f>'RT Travel Non-Adjacent Regions'!$AR$130:$AR$134</c:f>
              <c:numCache>
                <c:formatCode>"$"#,##0</c:formatCode>
                <c:ptCount val="5"/>
                <c:pt idx="0">
                  <c:v>225.4</c:v>
                </c:pt>
                <c:pt idx="1">
                  <c:v>208.84</c:v>
                </c:pt>
                <c:pt idx="2">
                  <c:v>230</c:v>
                </c:pt>
                <c:pt idx="3">
                  <c:v>228.16</c:v>
                </c:pt>
                <c:pt idx="4">
                  <c:v>223.56</c:v>
                </c:pt>
              </c:numCache>
            </c:numRef>
          </c:val>
          <c:extLst>
            <c:ext xmlns:c16="http://schemas.microsoft.com/office/drawing/2014/chart" uri="{C3380CC4-5D6E-409C-BE32-E72D297353CC}">
              <c16:uniqueId val="{00000000-B03E-584B-9380-B9B884CA1927}"/>
            </c:ext>
          </c:extLst>
        </c:ser>
        <c:ser>
          <c:idx val="1"/>
          <c:order val="1"/>
          <c:tx>
            <c:strRef>
              <c:f>'RT Travel Non-Adjacent Regions'!$AS$129</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Regions'!$AQ$130:$AQ$134</c:f>
              <c:strCache>
                <c:ptCount val="5"/>
                <c:pt idx="0">
                  <c:v>San Diego-Millbrae/                      493miles</c:v>
                </c:pt>
                <c:pt idx="1">
                  <c:v>San Diego-Stockton/                        521miles</c:v>
                </c:pt>
                <c:pt idx="2">
                  <c:v>San Diego-Sacramento/                 560miles</c:v>
                </c:pt>
                <c:pt idx="3">
                  <c:v>San Diego-San Francisco/                         598miles</c:v>
                </c:pt>
                <c:pt idx="4">
                  <c:v>San Diego-Oakland/                594miles</c:v>
                </c:pt>
              </c:strCache>
            </c:strRef>
          </c:cat>
          <c:val>
            <c:numRef>
              <c:f>'RT Travel Non-Adjacent Regions'!$AS$130:$AS$134</c:f>
              <c:numCache>
                <c:formatCode>"$"#,##0</c:formatCode>
                <c:ptCount val="5"/>
                <c:pt idx="0">
                  <c:v>280.3</c:v>
                </c:pt>
                <c:pt idx="1">
                  <c:v>282.3</c:v>
                </c:pt>
                <c:pt idx="2">
                  <c:v>372.3</c:v>
                </c:pt>
                <c:pt idx="3">
                  <c:v>280.3</c:v>
                </c:pt>
                <c:pt idx="4">
                  <c:v>287.2</c:v>
                </c:pt>
              </c:numCache>
            </c:numRef>
          </c:val>
          <c:extLst>
            <c:ext xmlns:c16="http://schemas.microsoft.com/office/drawing/2014/chart" uri="{C3380CC4-5D6E-409C-BE32-E72D297353CC}">
              <c16:uniqueId val="{00000001-B03E-584B-9380-B9B884CA1927}"/>
            </c:ext>
          </c:extLst>
        </c:ser>
        <c:ser>
          <c:idx val="2"/>
          <c:order val="2"/>
          <c:tx>
            <c:strRef>
              <c:f>'RT Travel Non-Adjacent Regions'!$AT$129</c:f>
              <c:strCache>
                <c:ptCount val="1"/>
                <c:pt idx="0">
                  <c:v>Round trip airfares + $23 for access+egress costs and Remote Access Costs if applicable</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Regions'!$AQ$130:$AQ$134</c:f>
              <c:strCache>
                <c:ptCount val="5"/>
                <c:pt idx="0">
                  <c:v>San Diego-Millbrae/                      493miles</c:v>
                </c:pt>
                <c:pt idx="1">
                  <c:v>San Diego-Stockton/                        521miles</c:v>
                </c:pt>
                <c:pt idx="2">
                  <c:v>San Diego-Sacramento/                 560miles</c:v>
                </c:pt>
                <c:pt idx="3">
                  <c:v>San Diego-San Francisco/                         598miles</c:v>
                </c:pt>
                <c:pt idx="4">
                  <c:v>San Diego-Oakland/                594miles</c:v>
                </c:pt>
              </c:strCache>
            </c:strRef>
          </c:cat>
          <c:val>
            <c:numRef>
              <c:f>'RT Travel Non-Adjacent Regions'!$AT$130:$AT$134</c:f>
              <c:numCache>
                <c:formatCode>"$"#,##0</c:formatCode>
                <c:ptCount val="5"/>
                <c:pt idx="0">
                  <c:v>233</c:v>
                </c:pt>
                <c:pt idx="1">
                  <c:v>234</c:v>
                </c:pt>
                <c:pt idx="2">
                  <c:v>219</c:v>
                </c:pt>
                <c:pt idx="3">
                  <c:v>218</c:v>
                </c:pt>
                <c:pt idx="4">
                  <c:v>199</c:v>
                </c:pt>
              </c:numCache>
            </c:numRef>
          </c:val>
          <c:extLst>
            <c:ext xmlns:c16="http://schemas.microsoft.com/office/drawing/2014/chart" uri="{C3380CC4-5D6E-409C-BE32-E72D297353CC}">
              <c16:uniqueId val="{00000002-B03E-584B-9380-B9B884CA1927}"/>
            </c:ext>
          </c:extLst>
        </c:ser>
        <c:ser>
          <c:idx val="3"/>
          <c:order val="3"/>
          <c:tx>
            <c:strRef>
              <c:f>'RT Travel Non-Adjacent Regions'!$AU$129</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dLbl>
              <c:idx val="3"/>
              <c:layout>
                <c:manualLayout>
                  <c:x val="-4.2825239504630699E-2"/>
                  <c:y val="3.41948382700016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F9-1048-8C60-4583FA2977E3}"/>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Regions'!$AQ$130:$AQ$134</c:f>
              <c:strCache>
                <c:ptCount val="5"/>
                <c:pt idx="0">
                  <c:v>San Diego-Millbrae/                      493miles</c:v>
                </c:pt>
                <c:pt idx="1">
                  <c:v>San Diego-Stockton/                        521miles</c:v>
                </c:pt>
                <c:pt idx="2">
                  <c:v>San Diego-Sacramento/                 560miles</c:v>
                </c:pt>
                <c:pt idx="3">
                  <c:v>San Diego-San Francisco/                         598miles</c:v>
                </c:pt>
                <c:pt idx="4">
                  <c:v>San Diego-Oakland/                594miles</c:v>
                </c:pt>
              </c:strCache>
            </c:strRef>
          </c:cat>
          <c:val>
            <c:numRef>
              <c:f>'RT Travel Non-Adjacent Regions'!$AU$130:$AU$134</c:f>
              <c:numCache>
                <c:formatCode>#,##0</c:formatCode>
                <c:ptCount val="5"/>
                <c:pt idx="0">
                  <c:v>-246.5</c:v>
                </c:pt>
                <c:pt idx="1">
                  <c:v>92.300000000000182</c:v>
                </c:pt>
                <c:pt idx="2">
                  <c:v>118</c:v>
                </c:pt>
                <c:pt idx="3">
                  <c:v>-208.5</c:v>
                </c:pt>
                <c:pt idx="4">
                  <c:v>-109.19999999999982</c:v>
                </c:pt>
              </c:numCache>
            </c:numRef>
          </c:val>
          <c:extLst>
            <c:ext xmlns:c16="http://schemas.microsoft.com/office/drawing/2014/chart" uri="{C3380CC4-5D6E-409C-BE32-E72D297353CC}">
              <c16:uniqueId val="{00000003-B03E-584B-9380-B9B884CA1927}"/>
            </c:ext>
          </c:extLst>
        </c:ser>
        <c:ser>
          <c:idx val="4"/>
          <c:order val="4"/>
          <c:tx>
            <c:strRef>
              <c:f>'RT Travel Non-Adjacent Regions'!$AV$129</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206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Regions'!$AQ$130:$AQ$134</c:f>
              <c:strCache>
                <c:ptCount val="5"/>
                <c:pt idx="0">
                  <c:v>San Diego-Millbrae/                      493miles</c:v>
                </c:pt>
                <c:pt idx="1">
                  <c:v>San Diego-Stockton/                        521miles</c:v>
                </c:pt>
                <c:pt idx="2">
                  <c:v>San Diego-Sacramento/                 560miles</c:v>
                </c:pt>
                <c:pt idx="3">
                  <c:v>San Diego-San Francisco/                         598miles</c:v>
                </c:pt>
                <c:pt idx="4">
                  <c:v>San Diego-Oakland/                594miles</c:v>
                </c:pt>
              </c:strCache>
            </c:strRef>
          </c:cat>
          <c:val>
            <c:numRef>
              <c:f>'RT Travel Non-Adjacent Regions'!$AV$130:$AV$134</c:f>
              <c:numCache>
                <c:formatCode>#,##0</c:formatCode>
                <c:ptCount val="5"/>
                <c:pt idx="0">
                  <c:v>486</c:v>
                </c:pt>
                <c:pt idx="1">
                  <c:v>710</c:v>
                </c:pt>
                <c:pt idx="2">
                  <c:v>830</c:v>
                </c:pt>
                <c:pt idx="3">
                  <c:v>524</c:v>
                </c:pt>
                <c:pt idx="4">
                  <c:v>360</c:v>
                </c:pt>
              </c:numCache>
            </c:numRef>
          </c:val>
          <c:extLst>
            <c:ext xmlns:c16="http://schemas.microsoft.com/office/drawing/2014/chart" uri="{C3380CC4-5D6E-409C-BE32-E72D297353CC}">
              <c16:uniqueId val="{00000004-B03E-584B-9380-B9B884CA1927}"/>
            </c:ext>
          </c:extLst>
        </c:ser>
        <c:dLbls>
          <c:showLegendKey val="0"/>
          <c:showVal val="0"/>
          <c:showCatName val="0"/>
          <c:showSerName val="0"/>
          <c:showPercent val="0"/>
          <c:showBubbleSize val="0"/>
        </c:dLbls>
        <c:gapWidth val="50"/>
        <c:axId val="-2129694104"/>
        <c:axId val="-2129690472"/>
      </c:barChart>
      <c:catAx>
        <c:axId val="-21296941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29690472"/>
        <c:crosses val="autoZero"/>
        <c:auto val="1"/>
        <c:lblAlgn val="ctr"/>
        <c:lblOffset val="100"/>
        <c:noMultiLvlLbl val="0"/>
      </c:catAx>
      <c:valAx>
        <c:axId val="-2129690472"/>
        <c:scaling>
          <c:orientation val="minMax"/>
          <c:max val="1450"/>
          <c:min val="-300"/>
        </c:scaling>
        <c:delete val="0"/>
        <c:axPos val="l"/>
        <c:majorGridlines>
          <c:spPr>
            <a:ln w="12700" cap="flat" cmpd="sng" algn="ctr">
              <a:solidFill>
                <a:schemeClr val="tx1">
                  <a:lumMod val="15000"/>
                  <a:lumOff val="8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29694104"/>
        <c:crosses val="autoZero"/>
        <c:crossBetween val="between"/>
      </c:valAx>
      <c:spPr>
        <a:noFill/>
        <a:ln>
          <a:noFill/>
        </a:ln>
        <a:effectLst/>
      </c:spPr>
    </c:plotArea>
    <c:legend>
      <c:legendPos val="b"/>
      <c:layout>
        <c:manualLayout>
          <c:xMode val="edge"/>
          <c:yMode val="edge"/>
          <c:x val="0"/>
          <c:y val="2.4890321399096273E-2"/>
          <c:w val="0.94815595530608998"/>
          <c:h val="0.26366594780273001"/>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'RT Intra-Regional Travel'!$Q$94:$Q$98</c:f>
              <c:strCache>
                <c:ptCount val="5"/>
                <c:pt idx="0">
                  <c:v>False Phase 1: Cost of Driving Alone Round-Trip @ 26¢/mile, the Authority's metric for fully-loaded auto costs</c:v>
                </c:pt>
              </c:strCache>
            </c:strRef>
          </c:tx>
          <c:spPr>
            <a:pattFill prst="pct20">
              <a:fgClr>
                <a:schemeClr val="accent1">
                  <a:lumMod val="60000"/>
                  <a:lumOff val="40000"/>
                </a:schemeClr>
              </a:fgClr>
              <a:bgClr>
                <a:srgbClr val="000090"/>
              </a:bgClr>
            </a:pattFill>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Travel'!$P$99:$P$103</c:f>
              <c:strCache>
                <c:ptCount val="5"/>
                <c:pt idx="0">
                  <c:v>San Francisco-Gilroy/                                                                   78miles</c:v>
                </c:pt>
                <c:pt idx="1">
                  <c:v>Palmdale-Anaheim/                                                   84miles</c:v>
                </c:pt>
                <c:pt idx="2">
                  <c:v>Fresno-Bakersfield/                                                   107miles</c:v>
                </c:pt>
                <c:pt idx="3">
                  <c:v>Merced-KT Hanford/                                          128miles</c:v>
                </c:pt>
                <c:pt idx="4">
                  <c:v>Merced-Bakersfield/                                                  166miles</c:v>
                </c:pt>
              </c:strCache>
            </c:strRef>
          </c:cat>
          <c:val>
            <c:numRef>
              <c:f>'RT Intra-Regional Travel'!$Q$99:$Q$103</c:f>
              <c:numCache>
                <c:formatCode>"$"#,##0</c:formatCode>
                <c:ptCount val="5"/>
                <c:pt idx="0">
                  <c:v>36.800000000000004</c:v>
                </c:pt>
                <c:pt idx="1">
                  <c:v>41.86</c:v>
                </c:pt>
                <c:pt idx="2">
                  <c:v>50.6</c:v>
                </c:pt>
                <c:pt idx="3">
                  <c:v>40.480000000000004</c:v>
                </c:pt>
                <c:pt idx="4">
                  <c:v>75.44</c:v>
                </c:pt>
              </c:numCache>
            </c:numRef>
          </c:val>
          <c:extLst>
            <c:ext xmlns:c16="http://schemas.microsoft.com/office/drawing/2014/chart" uri="{C3380CC4-5D6E-409C-BE32-E72D297353CC}">
              <c16:uniqueId val="{00000000-9990-6C46-B305-9636BFEEA3CA}"/>
            </c:ext>
          </c:extLst>
        </c:ser>
        <c:ser>
          <c:idx val="1"/>
          <c:order val="1"/>
          <c:tx>
            <c:strRef>
              <c:f>'RT Intra-Regional Travel'!$R$94:$R$98</c:f>
              <c:strCache>
                <c:ptCount val="5"/>
                <c:pt idx="0">
                  <c:v>False Phase 1: Per person cost of intra-regional round-trip fares using HSR; bassed on Figure 3.1 fares</c:v>
                </c:pt>
              </c:strCache>
            </c:strRef>
          </c:tx>
          <c:spPr>
            <a:pattFill prst="dkUpDiag">
              <a:fgClr>
                <a:srgbClr val="FF0000"/>
              </a:fgClr>
              <a:bgClr>
                <a:schemeClr val="bg1"/>
              </a:bgClr>
            </a:pattFill>
            <a:ln>
              <a:noFill/>
            </a:ln>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Travel'!$P$99:$P$103</c:f>
              <c:strCache>
                <c:ptCount val="5"/>
                <c:pt idx="0">
                  <c:v>San Francisco-Gilroy/                                                                   78miles</c:v>
                </c:pt>
                <c:pt idx="1">
                  <c:v>Palmdale-Anaheim/                                                   84miles</c:v>
                </c:pt>
                <c:pt idx="2">
                  <c:v>Fresno-Bakersfield/                                                   107miles</c:v>
                </c:pt>
                <c:pt idx="3">
                  <c:v>Merced-KT Hanford/                                          128miles</c:v>
                </c:pt>
                <c:pt idx="4">
                  <c:v>Merced-Bakersfield/                                                  166miles</c:v>
                </c:pt>
              </c:strCache>
            </c:strRef>
          </c:cat>
          <c:val>
            <c:numRef>
              <c:f>'RT Intra-Regional Travel'!$R$99:$R$103</c:f>
              <c:numCache>
                <c:formatCode>"$"#,##0</c:formatCode>
                <c:ptCount val="5"/>
                <c:pt idx="0">
                  <c:v>75</c:v>
                </c:pt>
                <c:pt idx="1">
                  <c:v>99</c:v>
                </c:pt>
                <c:pt idx="2">
                  <c:v>141</c:v>
                </c:pt>
                <c:pt idx="3">
                  <c:v>133</c:v>
                </c:pt>
                <c:pt idx="4">
                  <c:v>163</c:v>
                </c:pt>
              </c:numCache>
            </c:numRef>
          </c:val>
          <c:extLst>
            <c:ext xmlns:c16="http://schemas.microsoft.com/office/drawing/2014/chart" uri="{C3380CC4-5D6E-409C-BE32-E72D297353CC}">
              <c16:uniqueId val="{00000001-9990-6C46-B305-9636BFEEA3CA}"/>
            </c:ext>
          </c:extLst>
        </c:ser>
        <c:ser>
          <c:idx val="2"/>
          <c:order val="2"/>
          <c:tx>
            <c:strRef>
              <c:f>'RT Intra-Regional Travel'!$S$94:$S$98</c:f>
              <c:strCache>
                <c:ptCount val="5"/>
                <c:pt idx="0">
                  <c:v>False Phase 1: Per person fares for intra-regional round-trip by Caltrain, Metrolink or Amtrak (2017 $$s)</c:v>
                </c:pt>
              </c:strCache>
            </c:strRef>
          </c:tx>
          <c:spPr>
            <a:pattFill prst="pct40">
              <a:fgClr>
                <a:schemeClr val="bg1"/>
              </a:fgClr>
              <a:bgClr>
                <a:srgbClr val="660066"/>
              </a:bgClr>
            </a:pattFill>
          </c:spPr>
          <c:invertIfNegative val="0"/>
          <c:dLbls>
            <c:spPr>
              <a:noFill/>
              <a:ln w="25400">
                <a:noFill/>
              </a:ln>
            </c:spPr>
            <c:txPr>
              <a:bodyPr/>
              <a:lstStyle/>
              <a:p>
                <a:pPr>
                  <a:defRPr sz="600" b="1" i="0">
                    <a:solidFill>
                      <a:srgbClr val="660066"/>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Travel'!$P$99:$P$103</c:f>
              <c:strCache>
                <c:ptCount val="5"/>
                <c:pt idx="0">
                  <c:v>San Francisco-Gilroy/                                                                   78miles</c:v>
                </c:pt>
                <c:pt idx="1">
                  <c:v>Palmdale-Anaheim/                                                   84miles</c:v>
                </c:pt>
                <c:pt idx="2">
                  <c:v>Fresno-Bakersfield/                                                   107miles</c:v>
                </c:pt>
                <c:pt idx="3">
                  <c:v>Merced-KT Hanford/                                          128miles</c:v>
                </c:pt>
                <c:pt idx="4">
                  <c:v>Merced-Bakersfield/                                                  166miles</c:v>
                </c:pt>
              </c:strCache>
            </c:strRef>
          </c:cat>
          <c:val>
            <c:numRef>
              <c:f>'RT Intra-Regional Travel'!$S$99:$S$103</c:f>
              <c:numCache>
                <c:formatCode>"$"#,##0</c:formatCode>
                <c:ptCount val="5"/>
                <c:pt idx="0">
                  <c:v>27.5</c:v>
                </c:pt>
                <c:pt idx="1">
                  <c:v>37</c:v>
                </c:pt>
                <c:pt idx="2">
                  <c:v>60</c:v>
                </c:pt>
                <c:pt idx="3">
                  <c:v>60</c:v>
                </c:pt>
                <c:pt idx="4">
                  <c:v>67</c:v>
                </c:pt>
              </c:numCache>
            </c:numRef>
          </c:val>
          <c:extLst>
            <c:ext xmlns:c16="http://schemas.microsoft.com/office/drawing/2014/chart" uri="{C3380CC4-5D6E-409C-BE32-E72D297353CC}">
              <c16:uniqueId val="{00000002-9990-6C46-B305-9636BFEEA3CA}"/>
            </c:ext>
          </c:extLst>
        </c:ser>
        <c:ser>
          <c:idx val="3"/>
          <c:order val="3"/>
          <c:tx>
            <c:strRef>
              <c:f>'RT Intra-Regional Travel'!$T$94:$T$98</c:f>
              <c:strCache>
                <c:ptCount val="5"/>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c:spPr>
          <c:invertIfNegative val="0"/>
          <c:dLbls>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Travel'!$P$99:$P$103</c:f>
              <c:strCache>
                <c:ptCount val="5"/>
                <c:pt idx="0">
                  <c:v>San Francisco-Gilroy/                                                                   78miles</c:v>
                </c:pt>
                <c:pt idx="1">
                  <c:v>Palmdale-Anaheim/                                                   84miles</c:v>
                </c:pt>
                <c:pt idx="2">
                  <c:v>Fresno-Bakersfield/                                                   107miles</c:v>
                </c:pt>
                <c:pt idx="3">
                  <c:v>Merced-KT Hanford/                                          128miles</c:v>
                </c:pt>
                <c:pt idx="4">
                  <c:v>Merced-Bakersfield/                                                  166miles</c:v>
                </c:pt>
              </c:strCache>
            </c:strRef>
          </c:cat>
          <c:val>
            <c:numRef>
              <c:f>'RT Intra-Regional Travel'!$T$99:$T$103</c:f>
              <c:numCache>
                <c:formatCode>0</c:formatCode>
                <c:ptCount val="5"/>
                <c:pt idx="0">
                  <c:v>108.20000000000002</c:v>
                </c:pt>
                <c:pt idx="1">
                  <c:v>83.800000000000011</c:v>
                </c:pt>
                <c:pt idx="2">
                  <c:v>15.200000000000017</c:v>
                </c:pt>
                <c:pt idx="3">
                  <c:v>47.900000000000006</c:v>
                </c:pt>
                <c:pt idx="4">
                  <c:v>-31</c:v>
                </c:pt>
              </c:numCache>
            </c:numRef>
          </c:val>
          <c:extLst>
            <c:ext xmlns:c16="http://schemas.microsoft.com/office/drawing/2014/chart" uri="{C3380CC4-5D6E-409C-BE32-E72D297353CC}">
              <c16:uniqueId val="{00000003-9990-6C46-B305-9636BFEEA3CA}"/>
            </c:ext>
          </c:extLst>
        </c:ser>
        <c:dLbls>
          <c:showLegendKey val="0"/>
          <c:showVal val="0"/>
          <c:showCatName val="0"/>
          <c:showSerName val="0"/>
          <c:showPercent val="0"/>
          <c:showBubbleSize val="0"/>
        </c:dLbls>
        <c:gapWidth val="60"/>
        <c:axId val="2054004136"/>
        <c:axId val="2054007336"/>
      </c:barChart>
      <c:catAx>
        <c:axId val="2054004136"/>
        <c:scaling>
          <c:orientation val="minMax"/>
        </c:scaling>
        <c:delete val="0"/>
        <c:axPos val="b"/>
        <c:numFmt formatCode="General" sourceLinked="0"/>
        <c:majorTickMark val="out"/>
        <c:minorTickMark val="none"/>
        <c:tickLblPos val="low"/>
        <c:txPr>
          <a:bodyPr/>
          <a:lstStyle/>
          <a:p>
            <a:pPr>
              <a:defRPr sz="600" b="1" i="0"/>
            </a:pPr>
            <a:endParaRPr lang="en-US"/>
          </a:p>
        </c:txPr>
        <c:crossAx val="2054007336"/>
        <c:crosses val="autoZero"/>
        <c:auto val="1"/>
        <c:lblAlgn val="ctr"/>
        <c:lblOffset val="100"/>
        <c:noMultiLvlLbl val="0"/>
      </c:catAx>
      <c:valAx>
        <c:axId val="2054007336"/>
        <c:scaling>
          <c:orientation val="minMax"/>
          <c:max val="220"/>
          <c:min val="-120"/>
        </c:scaling>
        <c:delete val="0"/>
        <c:axPos val="l"/>
        <c:majorGridlines>
          <c:spPr>
            <a:ln w="12700" cmpd="sng">
              <a:prstDash val="sysDot"/>
            </a:ln>
          </c:spPr>
        </c:majorGridlines>
        <c:numFmt formatCode="&quot;$&quot;#,##0" sourceLinked="1"/>
        <c:majorTickMark val="out"/>
        <c:minorTickMark val="none"/>
        <c:tickLblPos val="nextTo"/>
        <c:txPr>
          <a:bodyPr/>
          <a:lstStyle/>
          <a:p>
            <a:pPr>
              <a:defRPr sz="500" b="1" i="0">
                <a:solidFill>
                  <a:srgbClr val="FF0000"/>
                </a:solidFill>
              </a:defRPr>
            </a:pPr>
            <a:endParaRPr lang="en-US"/>
          </a:p>
        </c:txPr>
        <c:crossAx val="2054004136"/>
        <c:crosses val="autoZero"/>
        <c:crossBetween val="between"/>
        <c:majorUnit val="25"/>
      </c:valAx>
      <c:spPr>
        <a:noFill/>
        <a:ln w="25400">
          <a:noFill/>
        </a:ln>
      </c:spPr>
    </c:plotArea>
    <c:legend>
      <c:legendPos val="t"/>
      <c:layout>
        <c:manualLayout>
          <c:xMode val="edge"/>
          <c:yMode val="edge"/>
          <c:x val="1.9508903542066124E-4"/>
          <c:y val="0"/>
          <c:w val="0.7643102173664964"/>
          <c:h val="0.21218096450611026"/>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2" r="0.750000000000002"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171336224695799E-2"/>
          <c:y val="4.13533834586466E-2"/>
          <c:w val="0.95982866377530396"/>
          <c:h val="0.94075691196495204"/>
        </c:manualLayout>
      </c:layout>
      <c:barChart>
        <c:barDir val="col"/>
        <c:grouping val="clustered"/>
        <c:varyColors val="0"/>
        <c:ser>
          <c:idx val="0"/>
          <c:order val="0"/>
          <c:tx>
            <c:strRef>
              <c:f>'RT Travel Non-Adjacent Regions'!$AR$7</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C6-094E-878A-66F4F6251E57}"/>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Regions'!$AQ$8:$AQ$12</c:f>
              <c:strCache>
                <c:ptCount val="5"/>
                <c:pt idx="0">
                  <c:v>Palmdale-Gilroy/                              331miles</c:v>
                </c:pt>
                <c:pt idx="1">
                  <c:v>   Palmdale-San Jose/                                                       361miles</c:v>
                </c:pt>
                <c:pt idx="2">
                  <c:v>Burbank-Gilroy (BUR)/                                                 382miles</c:v>
                </c:pt>
                <c:pt idx="3">
                  <c:v>Los Angeles-Gilroy/                                              388miles</c:v>
                </c:pt>
                <c:pt idx="4">
                  <c:v>Palmdale-Millbrae/                                                    394miles</c:v>
                </c:pt>
              </c:strCache>
            </c:strRef>
          </c:cat>
          <c:val>
            <c:numRef>
              <c:f>'RT Travel Non-Adjacent Regions'!$AR$8:$AR$12</c:f>
              <c:numCache>
                <c:formatCode>"$"#,##0</c:formatCode>
                <c:ptCount val="5"/>
                <c:pt idx="0">
                  <c:v>137.54</c:v>
                </c:pt>
                <c:pt idx="1">
                  <c:v>151.34</c:v>
                </c:pt>
                <c:pt idx="2">
                  <c:v>136.62</c:v>
                </c:pt>
                <c:pt idx="3">
                  <c:v>134.78</c:v>
                </c:pt>
                <c:pt idx="4">
                  <c:v>166.52</c:v>
                </c:pt>
              </c:numCache>
            </c:numRef>
          </c:val>
          <c:extLst>
            <c:ext xmlns:c16="http://schemas.microsoft.com/office/drawing/2014/chart" uri="{C3380CC4-5D6E-409C-BE32-E72D297353CC}">
              <c16:uniqueId val="{00000000-86C6-094E-878A-66F4F6251E57}"/>
            </c:ext>
          </c:extLst>
        </c:ser>
        <c:ser>
          <c:idx val="1"/>
          <c:order val="1"/>
          <c:tx>
            <c:strRef>
              <c:f>'RT Travel Non-Adjacent Regions'!$AS$7</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Regions'!$AQ$8:$AQ$12</c:f>
              <c:strCache>
                <c:ptCount val="5"/>
                <c:pt idx="0">
                  <c:v>Palmdale-Gilroy/                              331miles</c:v>
                </c:pt>
                <c:pt idx="1">
                  <c:v>   Palmdale-San Jose/                                                       361miles</c:v>
                </c:pt>
                <c:pt idx="2">
                  <c:v>Burbank-Gilroy (BUR)/                                                 382miles</c:v>
                </c:pt>
                <c:pt idx="3">
                  <c:v>Los Angeles-Gilroy/                                              388miles</c:v>
                </c:pt>
                <c:pt idx="4">
                  <c:v>Palmdale-Millbrae/                                                    394miles</c:v>
                </c:pt>
              </c:strCache>
            </c:strRef>
          </c:cat>
          <c:val>
            <c:numRef>
              <c:f>'RT Travel Non-Adjacent Regions'!$AS$8:$AS$12</c:f>
              <c:numCache>
                <c:formatCode>"$"#,##0</c:formatCode>
                <c:ptCount val="5"/>
                <c:pt idx="0">
                  <c:v>209</c:v>
                </c:pt>
                <c:pt idx="1">
                  <c:v>209</c:v>
                </c:pt>
                <c:pt idx="2">
                  <c:v>209</c:v>
                </c:pt>
                <c:pt idx="3">
                  <c:v>209</c:v>
                </c:pt>
                <c:pt idx="4">
                  <c:v>209</c:v>
                </c:pt>
              </c:numCache>
            </c:numRef>
          </c:val>
          <c:extLst>
            <c:ext xmlns:c16="http://schemas.microsoft.com/office/drawing/2014/chart" uri="{C3380CC4-5D6E-409C-BE32-E72D297353CC}">
              <c16:uniqueId val="{00000001-86C6-094E-878A-66F4F6251E57}"/>
            </c:ext>
          </c:extLst>
        </c:ser>
        <c:ser>
          <c:idx val="2"/>
          <c:order val="2"/>
          <c:tx>
            <c:strRef>
              <c:f>'RT Travel Non-Adjacent Regions'!$AT$7</c:f>
              <c:strCache>
                <c:ptCount val="1"/>
                <c:pt idx="0">
                  <c:v>Round trip airfares + $23 for access+egress costs and Remote Access Costs if applicable</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Regions'!$AQ$8:$AQ$12</c:f>
              <c:strCache>
                <c:ptCount val="5"/>
                <c:pt idx="0">
                  <c:v>Palmdale-Gilroy/                              331miles</c:v>
                </c:pt>
                <c:pt idx="1">
                  <c:v>   Palmdale-San Jose/                                                       361miles</c:v>
                </c:pt>
                <c:pt idx="2">
                  <c:v>Burbank-Gilroy (BUR)/                                                 382miles</c:v>
                </c:pt>
                <c:pt idx="3">
                  <c:v>Los Angeles-Gilroy/                                              388miles</c:v>
                </c:pt>
                <c:pt idx="4">
                  <c:v>Palmdale-Millbrae/                                                    394miles</c:v>
                </c:pt>
              </c:strCache>
            </c:strRef>
          </c:cat>
          <c:val>
            <c:numRef>
              <c:f>'RT Travel Non-Adjacent Regions'!$AT$8:$AT$12</c:f>
              <c:numCache>
                <c:formatCode>"$"#,##0</c:formatCode>
                <c:ptCount val="5"/>
                <c:pt idx="0">
                  <c:v>190</c:v>
                </c:pt>
                <c:pt idx="1">
                  <c:v>175</c:v>
                </c:pt>
                <c:pt idx="2">
                  <c:v>175</c:v>
                </c:pt>
                <c:pt idx="3">
                  <c:v>159</c:v>
                </c:pt>
                <c:pt idx="4">
                  <c:v>158</c:v>
                </c:pt>
              </c:numCache>
            </c:numRef>
          </c:val>
          <c:extLst>
            <c:ext xmlns:c16="http://schemas.microsoft.com/office/drawing/2014/chart" uri="{C3380CC4-5D6E-409C-BE32-E72D297353CC}">
              <c16:uniqueId val="{00000002-86C6-094E-878A-66F4F6251E57}"/>
            </c:ext>
          </c:extLst>
        </c:ser>
        <c:ser>
          <c:idx val="3"/>
          <c:order val="3"/>
          <c:tx>
            <c:strRef>
              <c:f>'RT Travel Non-Adjacent Regions'!$AU$7</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dLbl>
              <c:idx val="3"/>
              <c:layout>
                <c:manualLayout>
                  <c:x val="-3.8393416035964301E-2"/>
                  <c:y val="5.64409158420023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A5-624B-AE0B-F671BDFC4AB8}"/>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Regions'!$AQ$8:$AQ$12</c:f>
              <c:strCache>
                <c:ptCount val="5"/>
                <c:pt idx="0">
                  <c:v>Palmdale-Gilroy/                              331miles</c:v>
                </c:pt>
                <c:pt idx="1">
                  <c:v>   Palmdale-San Jose/                                                       361miles</c:v>
                </c:pt>
                <c:pt idx="2">
                  <c:v>Burbank-Gilroy (BUR)/                                                 382miles</c:v>
                </c:pt>
                <c:pt idx="3">
                  <c:v>Los Angeles-Gilroy/                                              388miles</c:v>
                </c:pt>
                <c:pt idx="4">
                  <c:v>Palmdale-Millbrae/                                                    394miles</c:v>
                </c:pt>
              </c:strCache>
            </c:strRef>
          </c:cat>
          <c:val>
            <c:numRef>
              <c:f>'RT Travel Non-Adjacent Regions'!$AU$8:$AU$12</c:f>
              <c:numCache>
                <c:formatCode>#,##0</c:formatCode>
                <c:ptCount val="5"/>
                <c:pt idx="0">
                  <c:v>-279.29999999999995</c:v>
                </c:pt>
                <c:pt idx="1">
                  <c:v>-293.09999999999991</c:v>
                </c:pt>
                <c:pt idx="2">
                  <c:v>-218.39999999999998</c:v>
                </c:pt>
                <c:pt idx="3">
                  <c:v>-184.69999999999993</c:v>
                </c:pt>
                <c:pt idx="4">
                  <c:v>-247.19999999999993</c:v>
                </c:pt>
              </c:numCache>
            </c:numRef>
          </c:val>
          <c:extLst>
            <c:ext xmlns:c16="http://schemas.microsoft.com/office/drawing/2014/chart" uri="{C3380CC4-5D6E-409C-BE32-E72D297353CC}">
              <c16:uniqueId val="{00000003-86C6-094E-878A-66F4F6251E57}"/>
            </c:ext>
          </c:extLst>
        </c:ser>
        <c:ser>
          <c:idx val="4"/>
          <c:order val="4"/>
          <c:tx>
            <c:strRef>
              <c:f>'RT Travel Non-Adjacent Regions'!$AV$7</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Regions'!$AQ$8:$AQ$12</c:f>
              <c:strCache>
                <c:ptCount val="5"/>
                <c:pt idx="0">
                  <c:v>Palmdale-Gilroy/                              331miles</c:v>
                </c:pt>
                <c:pt idx="1">
                  <c:v>   Palmdale-San Jose/                                                       361miles</c:v>
                </c:pt>
                <c:pt idx="2">
                  <c:v>Burbank-Gilroy (BUR)/                                                 382miles</c:v>
                </c:pt>
                <c:pt idx="3">
                  <c:v>Los Angeles-Gilroy/                                              388miles</c:v>
                </c:pt>
                <c:pt idx="4">
                  <c:v>Palmdale-Millbrae/                                                    394miles</c:v>
                </c:pt>
              </c:strCache>
            </c:strRef>
          </c:cat>
          <c:val>
            <c:numRef>
              <c:f>'RT Travel Non-Adjacent Regions'!$AV$8:$AV$12</c:f>
              <c:numCache>
                <c:formatCode>#,##0</c:formatCode>
                <c:ptCount val="5"/>
                <c:pt idx="0">
                  <c:v>-36</c:v>
                </c:pt>
                <c:pt idx="1">
                  <c:v>10</c:v>
                </c:pt>
                <c:pt idx="2">
                  <c:v>18</c:v>
                </c:pt>
                <c:pt idx="3">
                  <c:v>54</c:v>
                </c:pt>
                <c:pt idx="4">
                  <c:v>132</c:v>
                </c:pt>
              </c:numCache>
            </c:numRef>
          </c:val>
          <c:extLst>
            <c:ext xmlns:c16="http://schemas.microsoft.com/office/drawing/2014/chart" uri="{C3380CC4-5D6E-409C-BE32-E72D297353CC}">
              <c16:uniqueId val="{00000004-86C6-094E-878A-66F4F6251E57}"/>
            </c:ext>
          </c:extLst>
        </c:ser>
        <c:dLbls>
          <c:showLegendKey val="0"/>
          <c:showVal val="0"/>
          <c:showCatName val="0"/>
          <c:showSerName val="0"/>
          <c:showPercent val="0"/>
          <c:showBubbleSize val="0"/>
        </c:dLbls>
        <c:gapWidth val="50"/>
        <c:axId val="-2130363880"/>
        <c:axId val="-2130367512"/>
      </c:barChart>
      <c:catAx>
        <c:axId val="-21303638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30367512"/>
        <c:crosses val="autoZero"/>
        <c:auto val="1"/>
        <c:lblAlgn val="ctr"/>
        <c:lblOffset val="100"/>
        <c:noMultiLvlLbl val="0"/>
      </c:catAx>
      <c:valAx>
        <c:axId val="-2130367512"/>
        <c:scaling>
          <c:orientation val="minMax"/>
          <c:max val="550"/>
          <c:min val="-325"/>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low"/>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30363880"/>
        <c:crosses val="autoZero"/>
        <c:crossBetween val="between"/>
      </c:valAx>
      <c:spPr>
        <a:noFill/>
        <a:ln>
          <a:noFill/>
        </a:ln>
        <a:effectLst/>
      </c:spPr>
    </c:plotArea>
    <c:legend>
      <c:legendPos val="b"/>
      <c:layout>
        <c:manualLayout>
          <c:xMode val="edge"/>
          <c:yMode val="edge"/>
          <c:x val="0"/>
          <c:y val="8.4158102144963387E-2"/>
          <c:w val="0.91215424181578786"/>
          <c:h val="0.26204595835058619"/>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597099611887401E-2"/>
          <c:y val="3.8922149015272398E-2"/>
          <c:w val="0.95740290038811304"/>
          <c:h val="0.89045184240792397"/>
        </c:manualLayout>
      </c:layout>
      <c:barChart>
        <c:barDir val="col"/>
        <c:grouping val="clustered"/>
        <c:varyColors val="0"/>
        <c:ser>
          <c:idx val="0"/>
          <c:order val="0"/>
          <c:tx>
            <c:strRef>
              <c:f>'RT Travel Non-Adjacent Regions'!$AR$120</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Regions'!$AQ$121:$AQ$124</c:f>
              <c:strCache>
                <c:ptCount val="4"/>
                <c:pt idx="0">
                  <c:v>San Diego-Turlock/                                 422miles</c:v>
                </c:pt>
                <c:pt idx="1">
                  <c:v> San Diego-Gilroy/                                               429miles</c:v>
                </c:pt>
                <c:pt idx="2">
                  <c:v>San Diego-Elk Grove/                                         488miles</c:v>
                </c:pt>
                <c:pt idx="3">
                  <c:v>San Diego-Modesto/                                            418miles</c:v>
                </c:pt>
              </c:strCache>
            </c:strRef>
          </c:cat>
          <c:val>
            <c:numRef>
              <c:f>'RT Travel Non-Adjacent Regions'!$AR$121:$AR$124</c:f>
              <c:numCache>
                <c:formatCode>"$"#,##0</c:formatCode>
                <c:ptCount val="4"/>
                <c:pt idx="0">
                  <c:v>190.9</c:v>
                </c:pt>
                <c:pt idx="1">
                  <c:v>195.96</c:v>
                </c:pt>
                <c:pt idx="2">
                  <c:v>225.4</c:v>
                </c:pt>
                <c:pt idx="3">
                  <c:v>197.34</c:v>
                </c:pt>
              </c:numCache>
            </c:numRef>
          </c:val>
          <c:extLst>
            <c:ext xmlns:c16="http://schemas.microsoft.com/office/drawing/2014/chart" uri="{C3380CC4-5D6E-409C-BE32-E72D297353CC}">
              <c16:uniqueId val="{00000000-FEEE-D24B-A1BC-B32DD1F98125}"/>
            </c:ext>
          </c:extLst>
        </c:ser>
        <c:ser>
          <c:idx val="1"/>
          <c:order val="1"/>
          <c:tx>
            <c:strRef>
              <c:f>'RT Travel Non-Adjacent Regions'!$AS$120</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Regions'!$AQ$121:$AQ$124</c:f>
              <c:strCache>
                <c:ptCount val="4"/>
                <c:pt idx="0">
                  <c:v>San Diego-Turlock/                                 422miles</c:v>
                </c:pt>
                <c:pt idx="1">
                  <c:v> San Diego-Gilroy/                                               429miles</c:v>
                </c:pt>
                <c:pt idx="2">
                  <c:v>San Diego-Elk Grove/                                         488miles</c:v>
                </c:pt>
                <c:pt idx="3">
                  <c:v>San Diego-Modesto/                                            418miles</c:v>
                </c:pt>
              </c:strCache>
            </c:strRef>
          </c:cat>
          <c:val>
            <c:numRef>
              <c:f>'RT Travel Non-Adjacent Regions'!$AS$121:$AS$124</c:f>
              <c:numCache>
                <c:formatCode>"$"#,##0</c:formatCode>
                <c:ptCount val="4"/>
                <c:pt idx="0">
                  <c:v>282.3</c:v>
                </c:pt>
                <c:pt idx="1">
                  <c:v>280.3</c:v>
                </c:pt>
                <c:pt idx="2">
                  <c:v>300.3</c:v>
                </c:pt>
                <c:pt idx="3">
                  <c:v>282.3</c:v>
                </c:pt>
              </c:numCache>
            </c:numRef>
          </c:val>
          <c:extLst>
            <c:ext xmlns:c16="http://schemas.microsoft.com/office/drawing/2014/chart" uri="{C3380CC4-5D6E-409C-BE32-E72D297353CC}">
              <c16:uniqueId val="{00000001-FEEE-D24B-A1BC-B32DD1F98125}"/>
            </c:ext>
          </c:extLst>
        </c:ser>
        <c:ser>
          <c:idx val="2"/>
          <c:order val="2"/>
          <c:tx>
            <c:strRef>
              <c:f>'RT Travel Non-Adjacent Regions'!$AT$120</c:f>
              <c:strCache>
                <c:ptCount val="1"/>
                <c:pt idx="0">
                  <c:v>Round trip airfares + $23 for access+egress costs and Remote Access Costs if applicable</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Regions'!$AQ$121:$AQ$124</c:f>
              <c:strCache>
                <c:ptCount val="4"/>
                <c:pt idx="0">
                  <c:v>San Diego-Turlock/                                 422miles</c:v>
                </c:pt>
                <c:pt idx="1">
                  <c:v> San Diego-Gilroy/                                               429miles</c:v>
                </c:pt>
                <c:pt idx="2">
                  <c:v>San Diego-Elk Grove/                                         488miles</c:v>
                </c:pt>
                <c:pt idx="3">
                  <c:v>San Diego-Modesto/                                            418miles</c:v>
                </c:pt>
              </c:strCache>
            </c:strRef>
          </c:cat>
          <c:val>
            <c:numRef>
              <c:f>'RT Travel Non-Adjacent Regions'!$AT$121:$AT$124</c:f>
              <c:numCache>
                <c:formatCode>"$"#,##0</c:formatCode>
                <c:ptCount val="4"/>
                <c:pt idx="0">
                  <c:v>250</c:v>
                </c:pt>
                <c:pt idx="1">
                  <c:v>270</c:v>
                </c:pt>
                <c:pt idx="2">
                  <c:v>234</c:v>
                </c:pt>
                <c:pt idx="3">
                  <c:v>250</c:v>
                </c:pt>
              </c:numCache>
            </c:numRef>
          </c:val>
          <c:extLst>
            <c:ext xmlns:c16="http://schemas.microsoft.com/office/drawing/2014/chart" uri="{C3380CC4-5D6E-409C-BE32-E72D297353CC}">
              <c16:uniqueId val="{00000002-FEEE-D24B-A1BC-B32DD1F98125}"/>
            </c:ext>
          </c:extLst>
        </c:ser>
        <c:ser>
          <c:idx val="3"/>
          <c:order val="3"/>
          <c:tx>
            <c:strRef>
              <c:f>'RT Travel Non-Adjacent Regions'!$AU$120</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dLbl>
              <c:idx val="1"/>
              <c:layout>
                <c:manualLayout>
                  <c:x val="-4.0284868949798699E-2"/>
                  <c:y val="2.8618597750679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D5-5148-8AFC-6B5D0A77EE50}"/>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Regions'!$AQ$121:$AQ$124</c:f>
              <c:strCache>
                <c:ptCount val="4"/>
                <c:pt idx="0">
                  <c:v>San Diego-Turlock/                                 422miles</c:v>
                </c:pt>
                <c:pt idx="1">
                  <c:v> San Diego-Gilroy/                                               429miles</c:v>
                </c:pt>
                <c:pt idx="2">
                  <c:v>San Diego-Elk Grove/                                         488miles</c:v>
                </c:pt>
                <c:pt idx="3">
                  <c:v>San Diego-Modesto/                                            418miles</c:v>
                </c:pt>
              </c:strCache>
            </c:strRef>
          </c:cat>
          <c:val>
            <c:numRef>
              <c:f>'RT Travel Non-Adjacent Regions'!$AU$121:$AU$124</c:f>
              <c:numCache>
                <c:formatCode>#,##0</c:formatCode>
                <c:ptCount val="4"/>
                <c:pt idx="0">
                  <c:v>-28.699999999999932</c:v>
                </c:pt>
                <c:pt idx="1">
                  <c:v>-175.19999999999993</c:v>
                </c:pt>
                <c:pt idx="2">
                  <c:v>104.90000000000009</c:v>
                </c:pt>
                <c:pt idx="3">
                  <c:v>25.200000000000045</c:v>
                </c:pt>
              </c:numCache>
            </c:numRef>
          </c:val>
          <c:extLst>
            <c:ext xmlns:c16="http://schemas.microsoft.com/office/drawing/2014/chart" uri="{C3380CC4-5D6E-409C-BE32-E72D297353CC}">
              <c16:uniqueId val="{00000003-FEEE-D24B-A1BC-B32DD1F98125}"/>
            </c:ext>
          </c:extLst>
        </c:ser>
        <c:ser>
          <c:idx val="4"/>
          <c:order val="4"/>
          <c:tx>
            <c:strRef>
              <c:f>'RT Travel Non-Adjacent Regions'!$AV$120</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Regions'!$AQ$121:$AQ$124</c:f>
              <c:strCache>
                <c:ptCount val="4"/>
                <c:pt idx="0">
                  <c:v>San Diego-Turlock/                                 422miles</c:v>
                </c:pt>
                <c:pt idx="1">
                  <c:v> San Diego-Gilroy/                                               429miles</c:v>
                </c:pt>
                <c:pt idx="2">
                  <c:v>San Diego-Elk Grove/                                         488miles</c:v>
                </c:pt>
                <c:pt idx="3">
                  <c:v>San Diego-Modesto/                                            418miles</c:v>
                </c:pt>
              </c:strCache>
            </c:strRef>
          </c:cat>
          <c:val>
            <c:numRef>
              <c:f>'RT Travel Non-Adjacent Regions'!$AV$121:$AV$124</c:f>
              <c:numCache>
                <c:formatCode>#,##0</c:formatCode>
                <c:ptCount val="4"/>
                <c:pt idx="0">
                  <c:v>520</c:v>
                </c:pt>
                <c:pt idx="1">
                  <c:v>446</c:v>
                </c:pt>
                <c:pt idx="2">
                  <c:v>810</c:v>
                </c:pt>
                <c:pt idx="3">
                  <c:v>590</c:v>
                </c:pt>
              </c:numCache>
            </c:numRef>
          </c:val>
          <c:extLst>
            <c:ext xmlns:c16="http://schemas.microsoft.com/office/drawing/2014/chart" uri="{C3380CC4-5D6E-409C-BE32-E72D297353CC}">
              <c16:uniqueId val="{00000004-FEEE-D24B-A1BC-B32DD1F98125}"/>
            </c:ext>
          </c:extLst>
        </c:ser>
        <c:dLbls>
          <c:showLegendKey val="0"/>
          <c:showVal val="0"/>
          <c:showCatName val="0"/>
          <c:showSerName val="0"/>
          <c:showPercent val="0"/>
          <c:showBubbleSize val="0"/>
        </c:dLbls>
        <c:gapWidth val="50"/>
        <c:axId val="-2130443096"/>
        <c:axId val="-2130446728"/>
      </c:barChart>
      <c:catAx>
        <c:axId val="-21304430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30446728"/>
        <c:crosses val="autoZero"/>
        <c:auto val="1"/>
        <c:lblAlgn val="ctr"/>
        <c:lblOffset val="100"/>
        <c:noMultiLvlLbl val="0"/>
      </c:catAx>
      <c:valAx>
        <c:axId val="-2130446728"/>
        <c:scaling>
          <c:orientation val="minMax"/>
          <c:max val="875"/>
          <c:min val="-200"/>
        </c:scaling>
        <c:delete val="0"/>
        <c:axPos val="l"/>
        <c:majorGridlines>
          <c:spPr>
            <a:ln w="12700" cap="rnd"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30443096"/>
        <c:crosses val="autoZero"/>
        <c:crossBetween val="between"/>
      </c:valAx>
      <c:spPr>
        <a:noFill/>
        <a:ln>
          <a:noFill/>
        </a:ln>
        <a:effectLst/>
      </c:spPr>
    </c:plotArea>
    <c:legend>
      <c:legendPos val="b"/>
      <c:layout>
        <c:manualLayout>
          <c:xMode val="edge"/>
          <c:yMode val="edge"/>
          <c:x val="0"/>
          <c:y val="3.0004193560355199E-3"/>
          <c:w val="0.73461312559373715"/>
          <c:h val="0.300532402280487"/>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392870932287399E-2"/>
          <c:y val="3.873239436619718E-2"/>
          <c:w val="0.96560712906771262"/>
          <c:h val="0.89098591549295769"/>
        </c:manualLayout>
      </c:layout>
      <c:barChart>
        <c:barDir val="col"/>
        <c:grouping val="clustered"/>
        <c:varyColors val="0"/>
        <c:ser>
          <c:idx val="0"/>
          <c:order val="0"/>
          <c:tx>
            <c:strRef>
              <c:f>'RT Travel Non-Adjacent Regions'!$AR$98</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Regions'!$AQ$99:$AQ$103</c:f>
              <c:strCache>
                <c:ptCount val="5"/>
                <c:pt idx="0">
                  <c:v>Sacramento-Palmdale/                          435miles</c:v>
                </c:pt>
                <c:pt idx="1">
                  <c:v>Sacramento-Burbank (BUR)/                             437miles</c:v>
                </c:pt>
                <c:pt idx="2">
                  <c:v>Sacramento-Los Angeles/                              440miles</c:v>
                </c:pt>
                <c:pt idx="3">
                  <c:v>Sacramento-OC Gateway/                             460miles</c:v>
                </c:pt>
                <c:pt idx="4">
                  <c:v>Sacramento-Anaheim/                             470miles</c:v>
                </c:pt>
              </c:strCache>
            </c:strRef>
          </c:cat>
          <c:val>
            <c:numRef>
              <c:f>'RT Travel Non-Adjacent Regions'!$AR$99:$AR$103</c:f>
              <c:numCache>
                <c:formatCode>"$"#,##0</c:formatCode>
                <c:ptCount val="5"/>
                <c:pt idx="0">
                  <c:v>171.58</c:v>
                </c:pt>
                <c:pt idx="1">
                  <c:v>171.12</c:v>
                </c:pt>
                <c:pt idx="2">
                  <c:v>177.56</c:v>
                </c:pt>
                <c:pt idx="3">
                  <c:v>186.76000000000002</c:v>
                </c:pt>
                <c:pt idx="4">
                  <c:v>190.9</c:v>
                </c:pt>
              </c:numCache>
            </c:numRef>
          </c:val>
          <c:extLst>
            <c:ext xmlns:c16="http://schemas.microsoft.com/office/drawing/2014/chart" uri="{C3380CC4-5D6E-409C-BE32-E72D297353CC}">
              <c16:uniqueId val="{00000000-BC71-544A-B3BF-16202E13EAC4}"/>
            </c:ext>
          </c:extLst>
        </c:ser>
        <c:ser>
          <c:idx val="1"/>
          <c:order val="1"/>
          <c:tx>
            <c:strRef>
              <c:f>'RT Travel Non-Adjacent Regions'!$AS$98</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Regions'!$AQ$99:$AQ$103</c:f>
              <c:strCache>
                <c:ptCount val="5"/>
                <c:pt idx="0">
                  <c:v>Sacramento-Palmdale/                          435miles</c:v>
                </c:pt>
                <c:pt idx="1">
                  <c:v>Sacramento-Burbank (BUR)/                             437miles</c:v>
                </c:pt>
                <c:pt idx="2">
                  <c:v>Sacramento-Los Angeles/                              440miles</c:v>
                </c:pt>
                <c:pt idx="3">
                  <c:v>Sacramento-OC Gateway/                             460miles</c:v>
                </c:pt>
                <c:pt idx="4">
                  <c:v>Sacramento-Anaheim/                             470miles</c:v>
                </c:pt>
              </c:strCache>
            </c:strRef>
          </c:cat>
          <c:val>
            <c:numRef>
              <c:f>'RT Travel Non-Adjacent Regions'!$AS$99:$AS$103</c:f>
              <c:numCache>
                <c:formatCode>"$"#,##0</c:formatCode>
                <c:ptCount val="5"/>
                <c:pt idx="0">
                  <c:v>221</c:v>
                </c:pt>
                <c:pt idx="1">
                  <c:v>223</c:v>
                </c:pt>
                <c:pt idx="2">
                  <c:v>229</c:v>
                </c:pt>
                <c:pt idx="3">
                  <c:v>229</c:v>
                </c:pt>
                <c:pt idx="4">
                  <c:v>229</c:v>
                </c:pt>
              </c:numCache>
            </c:numRef>
          </c:val>
          <c:extLst>
            <c:ext xmlns:c16="http://schemas.microsoft.com/office/drawing/2014/chart" uri="{C3380CC4-5D6E-409C-BE32-E72D297353CC}">
              <c16:uniqueId val="{00000001-BC71-544A-B3BF-16202E13EAC4}"/>
            </c:ext>
          </c:extLst>
        </c:ser>
        <c:ser>
          <c:idx val="2"/>
          <c:order val="2"/>
          <c:tx>
            <c:strRef>
              <c:f>'RT Travel Non-Adjacent Regions'!$AT$98</c:f>
              <c:strCache>
                <c:ptCount val="1"/>
                <c:pt idx="0">
                  <c:v>Round trip airfares + $23 for access+egress costs and Remote Access Costs if applicable</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Regions'!$AQ$99:$AQ$103</c:f>
              <c:strCache>
                <c:ptCount val="5"/>
                <c:pt idx="0">
                  <c:v>Sacramento-Palmdale/                          435miles</c:v>
                </c:pt>
                <c:pt idx="1">
                  <c:v>Sacramento-Burbank (BUR)/                             437miles</c:v>
                </c:pt>
                <c:pt idx="2">
                  <c:v>Sacramento-Los Angeles/                              440miles</c:v>
                </c:pt>
                <c:pt idx="3">
                  <c:v>Sacramento-OC Gateway/                             460miles</c:v>
                </c:pt>
                <c:pt idx="4">
                  <c:v>Sacramento-Anaheim/                             470miles</c:v>
                </c:pt>
              </c:strCache>
            </c:strRef>
          </c:cat>
          <c:val>
            <c:numRef>
              <c:f>'RT Travel Non-Adjacent Regions'!$AT$99:$AT$103</c:f>
              <c:numCache>
                <c:formatCode>"$"#,##0</c:formatCode>
                <c:ptCount val="5"/>
                <c:pt idx="0">
                  <c:v>208</c:v>
                </c:pt>
                <c:pt idx="1">
                  <c:v>204</c:v>
                </c:pt>
                <c:pt idx="2">
                  <c:v>177</c:v>
                </c:pt>
                <c:pt idx="3">
                  <c:v>192</c:v>
                </c:pt>
                <c:pt idx="4">
                  <c:v>192</c:v>
                </c:pt>
              </c:numCache>
            </c:numRef>
          </c:val>
          <c:extLst>
            <c:ext xmlns:c16="http://schemas.microsoft.com/office/drawing/2014/chart" uri="{C3380CC4-5D6E-409C-BE32-E72D297353CC}">
              <c16:uniqueId val="{00000002-BC71-544A-B3BF-16202E13EAC4}"/>
            </c:ext>
          </c:extLst>
        </c:ser>
        <c:ser>
          <c:idx val="3"/>
          <c:order val="3"/>
          <c:tx>
            <c:strRef>
              <c:f>'RT Travel Non-Adjacent Regions'!$AU$98</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Regions'!$AQ$99:$AQ$103</c:f>
              <c:strCache>
                <c:ptCount val="5"/>
                <c:pt idx="0">
                  <c:v>Sacramento-Palmdale/                          435miles</c:v>
                </c:pt>
                <c:pt idx="1">
                  <c:v>Sacramento-Burbank (BUR)/                             437miles</c:v>
                </c:pt>
                <c:pt idx="2">
                  <c:v>Sacramento-Los Angeles/                              440miles</c:v>
                </c:pt>
                <c:pt idx="3">
                  <c:v>Sacramento-OC Gateway/                             460miles</c:v>
                </c:pt>
                <c:pt idx="4">
                  <c:v>Sacramento-Anaheim/                             470miles</c:v>
                </c:pt>
              </c:strCache>
            </c:strRef>
          </c:cat>
          <c:val>
            <c:numRef>
              <c:f>'RT Travel Non-Adjacent Regions'!$AU$99:$AU$103</c:f>
              <c:numCache>
                <c:formatCode>#,##0</c:formatCode>
                <c:ptCount val="5"/>
                <c:pt idx="0">
                  <c:v>71.500000000000114</c:v>
                </c:pt>
                <c:pt idx="1">
                  <c:v>58.700000000000045</c:v>
                </c:pt>
                <c:pt idx="2">
                  <c:v>55.600000000000023</c:v>
                </c:pt>
                <c:pt idx="3">
                  <c:v>106.50000000000011</c:v>
                </c:pt>
                <c:pt idx="4">
                  <c:v>116.40000000000009</c:v>
                </c:pt>
              </c:numCache>
            </c:numRef>
          </c:val>
          <c:extLst>
            <c:ext xmlns:c16="http://schemas.microsoft.com/office/drawing/2014/chart" uri="{C3380CC4-5D6E-409C-BE32-E72D297353CC}">
              <c16:uniqueId val="{00000003-BC71-544A-B3BF-16202E13EAC4}"/>
            </c:ext>
          </c:extLst>
        </c:ser>
        <c:ser>
          <c:idx val="4"/>
          <c:order val="4"/>
          <c:tx>
            <c:strRef>
              <c:f>'RT Travel Non-Adjacent Regions'!$AV$98</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Non-Adjacent Regions'!$AQ$99:$AQ$103</c:f>
              <c:strCache>
                <c:ptCount val="5"/>
                <c:pt idx="0">
                  <c:v>Sacramento-Palmdale/                          435miles</c:v>
                </c:pt>
                <c:pt idx="1">
                  <c:v>Sacramento-Burbank (BUR)/                             437miles</c:v>
                </c:pt>
                <c:pt idx="2">
                  <c:v>Sacramento-Los Angeles/                              440miles</c:v>
                </c:pt>
                <c:pt idx="3">
                  <c:v>Sacramento-OC Gateway/                             460miles</c:v>
                </c:pt>
                <c:pt idx="4">
                  <c:v>Sacramento-Anaheim/                             470miles</c:v>
                </c:pt>
              </c:strCache>
            </c:strRef>
          </c:cat>
          <c:val>
            <c:numRef>
              <c:f>'RT Travel Non-Adjacent Regions'!$AV$99:$AV$103</c:f>
              <c:numCache>
                <c:formatCode>#,##0</c:formatCode>
                <c:ptCount val="5"/>
                <c:pt idx="0">
                  <c:v>418</c:v>
                </c:pt>
                <c:pt idx="1">
                  <c:v>62</c:v>
                </c:pt>
                <c:pt idx="2">
                  <c:v>432</c:v>
                </c:pt>
                <c:pt idx="3">
                  <c:v>522</c:v>
                </c:pt>
                <c:pt idx="4">
                  <c:v>548</c:v>
                </c:pt>
              </c:numCache>
            </c:numRef>
          </c:val>
          <c:extLst>
            <c:ext xmlns:c16="http://schemas.microsoft.com/office/drawing/2014/chart" uri="{C3380CC4-5D6E-409C-BE32-E72D297353CC}">
              <c16:uniqueId val="{00000004-BC71-544A-B3BF-16202E13EAC4}"/>
            </c:ext>
          </c:extLst>
        </c:ser>
        <c:dLbls>
          <c:showLegendKey val="0"/>
          <c:showVal val="0"/>
          <c:showCatName val="0"/>
          <c:showSerName val="0"/>
          <c:showPercent val="0"/>
          <c:showBubbleSize val="0"/>
        </c:dLbls>
        <c:gapWidth val="50"/>
        <c:axId val="957937344"/>
        <c:axId val="957782816"/>
      </c:barChart>
      <c:catAx>
        <c:axId val="95793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957782816"/>
        <c:crosses val="autoZero"/>
        <c:auto val="1"/>
        <c:lblAlgn val="ctr"/>
        <c:lblOffset val="100"/>
        <c:noMultiLvlLbl val="0"/>
      </c:catAx>
      <c:valAx>
        <c:axId val="957782816"/>
        <c:scaling>
          <c:orientation val="minMax"/>
          <c:max val="750"/>
          <c:min val="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low"/>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957937344"/>
        <c:crosses val="autoZero"/>
        <c:crossBetween val="between"/>
      </c:valAx>
      <c:spPr>
        <a:noFill/>
        <a:ln>
          <a:noFill/>
        </a:ln>
        <a:effectLst/>
      </c:spPr>
    </c:plotArea>
    <c:legend>
      <c:legendPos val="b"/>
      <c:layout>
        <c:manualLayout>
          <c:xMode val="edge"/>
          <c:yMode val="edge"/>
          <c:x val="0"/>
          <c:y val="2.4467122295919051E-2"/>
          <c:w val="0.85637146821743182"/>
          <c:h val="0.2614651235931351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379474602140802E-2"/>
          <c:y val="4.2991282340399901E-2"/>
          <c:w val="0.95862052539785902"/>
          <c:h val="0.87899908170374697"/>
        </c:manualLayout>
      </c:layout>
      <c:barChart>
        <c:barDir val="col"/>
        <c:grouping val="clustered"/>
        <c:varyColors val="0"/>
        <c:ser>
          <c:idx val="0"/>
          <c:order val="0"/>
          <c:tx>
            <c:strRef>
              <c:f>'RT Travel Other Regions'!$AR$7</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Regions'!$AQ$8:$AQ$12</c:f>
              <c:strCache>
                <c:ptCount val="5"/>
                <c:pt idx="0">
                  <c:v>Monterey-San Francisco/                                       169miles</c:v>
                </c:pt>
                <c:pt idx="1">
                  <c:v>Monterey-Fresno/                                    225miles</c:v>
                </c:pt>
                <c:pt idx="2">
                  <c:v>Monterey-Sacramento/                          396miles</c:v>
                </c:pt>
                <c:pt idx="3">
                  <c:v>Monterey-Los Angeles/                                           492miles</c:v>
                </c:pt>
                <c:pt idx="4">
                  <c:v>Monterey-San Diego/                                612miles</c:v>
                </c:pt>
              </c:strCache>
            </c:strRef>
          </c:cat>
          <c:val>
            <c:numRef>
              <c:f>'RT Travel Other Regions'!$AR$8:$AR$12</c:f>
              <c:numCache>
                <c:formatCode>"$"#,##0</c:formatCode>
                <c:ptCount val="5"/>
                <c:pt idx="0">
                  <c:v>55.660000000000004</c:v>
                </c:pt>
                <c:pt idx="1">
                  <c:v>71.3</c:v>
                </c:pt>
                <c:pt idx="2">
                  <c:v>85.100000000000009</c:v>
                </c:pt>
                <c:pt idx="3">
                  <c:v>147.20000000000002</c:v>
                </c:pt>
                <c:pt idx="4">
                  <c:v>201.48000000000002</c:v>
                </c:pt>
              </c:numCache>
            </c:numRef>
          </c:val>
          <c:extLst>
            <c:ext xmlns:c16="http://schemas.microsoft.com/office/drawing/2014/chart" uri="{C3380CC4-5D6E-409C-BE32-E72D297353CC}">
              <c16:uniqueId val="{00000000-3D45-7B41-8C03-B95C73475686}"/>
            </c:ext>
          </c:extLst>
        </c:ser>
        <c:ser>
          <c:idx val="1"/>
          <c:order val="1"/>
          <c:tx>
            <c:strRef>
              <c:f>'RT Travel Other Regions'!$AS$7</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Regions'!$AQ$8:$AQ$12</c:f>
              <c:strCache>
                <c:ptCount val="5"/>
                <c:pt idx="0">
                  <c:v>Monterey-San Francisco/                                       169miles</c:v>
                </c:pt>
                <c:pt idx="1">
                  <c:v>Monterey-Fresno/                                    225miles</c:v>
                </c:pt>
                <c:pt idx="2">
                  <c:v>Monterey-Sacramento/                          396miles</c:v>
                </c:pt>
                <c:pt idx="3">
                  <c:v>Monterey-Los Angeles/                                           492miles</c:v>
                </c:pt>
                <c:pt idx="4">
                  <c:v>Monterey-San Diego/                                612miles</c:v>
                </c:pt>
              </c:strCache>
            </c:strRef>
          </c:cat>
          <c:val>
            <c:numRef>
              <c:f>'RT Travel Other Regions'!$AS$8:$AS$12</c:f>
              <c:numCache>
                <c:formatCode>"$"#,##0</c:formatCode>
                <c:ptCount val="5"/>
                <c:pt idx="0">
                  <c:v>117</c:v>
                </c:pt>
                <c:pt idx="1">
                  <c:v>201</c:v>
                </c:pt>
                <c:pt idx="2">
                  <c:v>207</c:v>
                </c:pt>
                <c:pt idx="3">
                  <c:v>255</c:v>
                </c:pt>
                <c:pt idx="4">
                  <c:v>328</c:v>
                </c:pt>
              </c:numCache>
            </c:numRef>
          </c:val>
          <c:extLst>
            <c:ext xmlns:c16="http://schemas.microsoft.com/office/drawing/2014/chart" uri="{C3380CC4-5D6E-409C-BE32-E72D297353CC}">
              <c16:uniqueId val="{00000001-3D45-7B41-8C03-B95C73475686}"/>
            </c:ext>
          </c:extLst>
        </c:ser>
        <c:ser>
          <c:idx val="2"/>
          <c:order val="2"/>
          <c:tx>
            <c:strRef>
              <c:f>'RT Travel Other Regions'!$AT$7</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Regions'!$AQ$8:$AQ$12</c:f>
              <c:strCache>
                <c:ptCount val="5"/>
                <c:pt idx="0">
                  <c:v>Monterey-San Francisco/                                       169miles</c:v>
                </c:pt>
                <c:pt idx="1">
                  <c:v>Monterey-Fresno/                                    225miles</c:v>
                </c:pt>
                <c:pt idx="2">
                  <c:v>Monterey-Sacramento/                          396miles</c:v>
                </c:pt>
                <c:pt idx="3">
                  <c:v>Monterey-Los Angeles/                                           492miles</c:v>
                </c:pt>
                <c:pt idx="4">
                  <c:v>Monterey-San Diego/                                612miles</c:v>
                </c:pt>
              </c:strCache>
            </c:strRef>
          </c:cat>
          <c:val>
            <c:numRef>
              <c:f>'RT Travel Other Regions'!$AT$8:$AT$12</c:f>
              <c:numCache>
                <c:formatCode>"$"#,##0</c:formatCode>
                <c:ptCount val="5"/>
                <c:pt idx="0">
                  <c:v>347</c:v>
                </c:pt>
                <c:pt idx="1">
                  <c:v>564</c:v>
                </c:pt>
                <c:pt idx="2">
                  <c:v>564</c:v>
                </c:pt>
                <c:pt idx="3">
                  <c:v>289</c:v>
                </c:pt>
                <c:pt idx="4">
                  <c:v>363</c:v>
                </c:pt>
              </c:numCache>
            </c:numRef>
          </c:val>
          <c:extLst>
            <c:ext xmlns:c16="http://schemas.microsoft.com/office/drawing/2014/chart" uri="{C3380CC4-5D6E-409C-BE32-E72D297353CC}">
              <c16:uniqueId val="{00000002-3D45-7B41-8C03-B95C73475686}"/>
            </c:ext>
          </c:extLst>
        </c:ser>
        <c:ser>
          <c:idx val="3"/>
          <c:order val="3"/>
          <c:tx>
            <c:strRef>
              <c:f>'RT Travel Other Regions'!$AU$7</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Regions'!$AQ$8:$AQ$12</c:f>
              <c:strCache>
                <c:ptCount val="5"/>
                <c:pt idx="0">
                  <c:v>Monterey-San Francisco/                                       169miles</c:v>
                </c:pt>
                <c:pt idx="1">
                  <c:v>Monterey-Fresno/                                    225miles</c:v>
                </c:pt>
                <c:pt idx="2">
                  <c:v>Monterey-Sacramento/                          396miles</c:v>
                </c:pt>
                <c:pt idx="3">
                  <c:v>Monterey-Los Angeles/                                           492miles</c:v>
                </c:pt>
                <c:pt idx="4">
                  <c:v>Monterey-San Diego/                                612miles</c:v>
                </c:pt>
              </c:strCache>
            </c:strRef>
          </c:cat>
          <c:val>
            <c:numRef>
              <c:f>'RT Travel Other Regions'!$AU$8:$AU$12</c:f>
              <c:numCache>
                <c:formatCode>#,##0</c:formatCode>
                <c:ptCount val="5"/>
                <c:pt idx="0">
                  <c:v>185.40000000000003</c:v>
                </c:pt>
                <c:pt idx="1">
                  <c:v>212.8</c:v>
                </c:pt>
                <c:pt idx="2">
                  <c:v>635.5</c:v>
                </c:pt>
                <c:pt idx="3">
                  <c:v>57</c:v>
                </c:pt>
                <c:pt idx="4">
                  <c:v>211.40000000000009</c:v>
                </c:pt>
              </c:numCache>
            </c:numRef>
          </c:val>
          <c:extLst>
            <c:ext xmlns:c16="http://schemas.microsoft.com/office/drawing/2014/chart" uri="{C3380CC4-5D6E-409C-BE32-E72D297353CC}">
              <c16:uniqueId val="{00000003-3D45-7B41-8C03-B95C73475686}"/>
            </c:ext>
          </c:extLst>
        </c:ser>
        <c:ser>
          <c:idx val="4"/>
          <c:order val="4"/>
          <c:tx>
            <c:strRef>
              <c:f>'RT Travel Other Regions'!$AV$7</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Regions'!$AQ$8:$AQ$12</c:f>
              <c:strCache>
                <c:ptCount val="5"/>
                <c:pt idx="0">
                  <c:v>Monterey-San Francisco/                                       169miles</c:v>
                </c:pt>
                <c:pt idx="1">
                  <c:v>Monterey-Fresno/                                    225miles</c:v>
                </c:pt>
                <c:pt idx="2">
                  <c:v>Monterey-Sacramento/                          396miles</c:v>
                </c:pt>
                <c:pt idx="3">
                  <c:v>Monterey-Los Angeles/                                           492miles</c:v>
                </c:pt>
                <c:pt idx="4">
                  <c:v>Monterey-San Diego/                                612miles</c:v>
                </c:pt>
              </c:strCache>
            </c:strRef>
          </c:cat>
          <c:val>
            <c:numRef>
              <c:f>'RT Travel Other Regions'!$AV$8:$AV$12</c:f>
              <c:numCache>
                <c:formatCode>#,##0</c:formatCode>
                <c:ptCount val="5"/>
                <c:pt idx="0">
                  <c:v>220</c:v>
                </c:pt>
                <c:pt idx="1">
                  <c:v>-80</c:v>
                </c:pt>
                <c:pt idx="2">
                  <c:v>522</c:v>
                </c:pt>
                <c:pt idx="3">
                  <c:v>362</c:v>
                </c:pt>
                <c:pt idx="4">
                  <c:v>784</c:v>
                </c:pt>
              </c:numCache>
            </c:numRef>
          </c:val>
          <c:extLst>
            <c:ext xmlns:c16="http://schemas.microsoft.com/office/drawing/2014/chart" uri="{C3380CC4-5D6E-409C-BE32-E72D297353CC}">
              <c16:uniqueId val="{00000004-3D45-7B41-8C03-B95C73475686}"/>
            </c:ext>
          </c:extLst>
        </c:ser>
        <c:dLbls>
          <c:showLegendKey val="0"/>
          <c:showVal val="0"/>
          <c:showCatName val="0"/>
          <c:showSerName val="0"/>
          <c:showPercent val="0"/>
          <c:showBubbleSize val="0"/>
        </c:dLbls>
        <c:gapWidth val="50"/>
        <c:axId val="-2130635928"/>
        <c:axId val="-2130639560"/>
      </c:barChart>
      <c:catAx>
        <c:axId val="-21306359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30639560"/>
        <c:crosses val="autoZero"/>
        <c:auto val="1"/>
        <c:lblAlgn val="ctr"/>
        <c:lblOffset val="100"/>
        <c:noMultiLvlLbl val="0"/>
      </c:catAx>
      <c:valAx>
        <c:axId val="-2130639560"/>
        <c:scaling>
          <c:orientation val="minMax"/>
          <c:max val="1080"/>
          <c:min val="-10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30635928"/>
        <c:crosses val="autoZero"/>
        <c:crossBetween val="between"/>
      </c:valAx>
      <c:spPr>
        <a:noFill/>
        <a:ln>
          <a:noFill/>
        </a:ln>
        <a:effectLst/>
      </c:spPr>
    </c:plotArea>
    <c:legend>
      <c:legendPos val="b"/>
      <c:layout>
        <c:manualLayout>
          <c:xMode val="edge"/>
          <c:yMode val="edge"/>
          <c:x val="0"/>
          <c:y val="6.6161471444523182E-2"/>
          <c:w val="0.94041818762677298"/>
          <c:h val="0.25309617245258997"/>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912572248107901E-2"/>
          <c:y val="4.2696199274195198E-2"/>
          <c:w val="0.96208742775189204"/>
          <c:h val="0.87982960640644703"/>
        </c:manualLayout>
      </c:layout>
      <c:barChart>
        <c:barDir val="col"/>
        <c:grouping val="clustered"/>
        <c:varyColors val="0"/>
        <c:ser>
          <c:idx val="0"/>
          <c:order val="0"/>
          <c:tx>
            <c:strRef>
              <c:f>'RT Travel Other Regions'!$AR$18</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Regions'!$AQ$19:$AQ$22</c:f>
              <c:strCache>
                <c:ptCount val="4"/>
                <c:pt idx="0">
                  <c:v>Santa Barbara-Monterey/                              590miles</c:v>
                </c:pt>
                <c:pt idx="1">
                  <c:v>Santa Barbara-Sacramento/                             538miles</c:v>
                </c:pt>
                <c:pt idx="2">
                  <c:v>Santa Barbara-Fresno/                                      366miles</c:v>
                </c:pt>
                <c:pt idx="3">
                  <c:v>Santa Barbara-San Diego/                               219miles</c:v>
                </c:pt>
              </c:strCache>
            </c:strRef>
          </c:cat>
          <c:val>
            <c:numRef>
              <c:f>'RT Travel Other Regions'!$AR$19:$AR$22</c:f>
              <c:numCache>
                <c:formatCode>"$"#,##0</c:formatCode>
                <c:ptCount val="4"/>
                <c:pt idx="0">
                  <c:v>108.10000000000001</c:v>
                </c:pt>
                <c:pt idx="1">
                  <c:v>177.56</c:v>
                </c:pt>
                <c:pt idx="2">
                  <c:v>116.84</c:v>
                </c:pt>
                <c:pt idx="3">
                  <c:v>100.28</c:v>
                </c:pt>
              </c:numCache>
            </c:numRef>
          </c:val>
          <c:extLst>
            <c:ext xmlns:c16="http://schemas.microsoft.com/office/drawing/2014/chart" uri="{C3380CC4-5D6E-409C-BE32-E72D297353CC}">
              <c16:uniqueId val="{00000000-B951-2940-AC85-7DE57C082261}"/>
            </c:ext>
          </c:extLst>
        </c:ser>
        <c:ser>
          <c:idx val="1"/>
          <c:order val="1"/>
          <c:tx>
            <c:strRef>
              <c:f>'RT Travel Other Regions'!$AS$18</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Regions'!$AQ$19:$AQ$22</c:f>
              <c:strCache>
                <c:ptCount val="4"/>
                <c:pt idx="0">
                  <c:v>Santa Barbara-Monterey/                              590miles</c:v>
                </c:pt>
                <c:pt idx="1">
                  <c:v>Santa Barbara-Sacramento/                             538miles</c:v>
                </c:pt>
                <c:pt idx="2">
                  <c:v>Santa Barbara-Fresno/                                      366miles</c:v>
                </c:pt>
                <c:pt idx="3">
                  <c:v>Santa Barbara-San Diego/                               219miles</c:v>
                </c:pt>
              </c:strCache>
            </c:strRef>
          </c:cat>
          <c:val>
            <c:numRef>
              <c:f>'RT Travel Other Regions'!$AS$19:$AS$22</c:f>
              <c:numCache>
                <c:formatCode>"$"#,##0</c:formatCode>
                <c:ptCount val="4"/>
                <c:pt idx="0">
                  <c:v>283</c:v>
                </c:pt>
                <c:pt idx="1">
                  <c:v>257</c:v>
                </c:pt>
                <c:pt idx="2">
                  <c:v>215</c:v>
                </c:pt>
                <c:pt idx="3">
                  <c:v>124</c:v>
                </c:pt>
              </c:numCache>
            </c:numRef>
          </c:val>
          <c:extLst>
            <c:ext xmlns:c16="http://schemas.microsoft.com/office/drawing/2014/chart" uri="{C3380CC4-5D6E-409C-BE32-E72D297353CC}">
              <c16:uniqueId val="{00000001-B951-2940-AC85-7DE57C082261}"/>
            </c:ext>
          </c:extLst>
        </c:ser>
        <c:ser>
          <c:idx val="2"/>
          <c:order val="2"/>
          <c:tx>
            <c:strRef>
              <c:f>'RT Travel Other Regions'!$AT$18</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Regions'!$AQ$19:$AQ$22</c:f>
              <c:strCache>
                <c:ptCount val="4"/>
                <c:pt idx="0">
                  <c:v>Santa Barbara-Monterey/                              590miles</c:v>
                </c:pt>
                <c:pt idx="1">
                  <c:v>Santa Barbara-Sacramento/                             538miles</c:v>
                </c:pt>
                <c:pt idx="2">
                  <c:v>Santa Barbara-Fresno/                                      366miles</c:v>
                </c:pt>
                <c:pt idx="3">
                  <c:v>Santa Barbara-San Diego/                               219miles</c:v>
                </c:pt>
              </c:strCache>
            </c:strRef>
          </c:cat>
          <c:val>
            <c:numRef>
              <c:f>'RT Travel Other Regions'!$AT$19:$AT$22</c:f>
              <c:numCache>
                <c:formatCode>"$"#,##0</c:formatCode>
                <c:ptCount val="4"/>
                <c:pt idx="0">
                  <c:v>567</c:v>
                </c:pt>
                <c:pt idx="1">
                  <c:v>543</c:v>
                </c:pt>
                <c:pt idx="2">
                  <c:v>546</c:v>
                </c:pt>
                <c:pt idx="3">
                  <c:v>554</c:v>
                </c:pt>
              </c:numCache>
            </c:numRef>
          </c:val>
          <c:extLst>
            <c:ext xmlns:c16="http://schemas.microsoft.com/office/drawing/2014/chart" uri="{C3380CC4-5D6E-409C-BE32-E72D297353CC}">
              <c16:uniqueId val="{00000002-B951-2940-AC85-7DE57C082261}"/>
            </c:ext>
          </c:extLst>
        </c:ser>
        <c:ser>
          <c:idx val="3"/>
          <c:order val="3"/>
          <c:tx>
            <c:strRef>
              <c:f>'RT Travel Other Regions'!$AU$18</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Regions'!$AQ$19:$AQ$22</c:f>
              <c:strCache>
                <c:ptCount val="4"/>
                <c:pt idx="0">
                  <c:v>Santa Barbara-Monterey/                              590miles</c:v>
                </c:pt>
                <c:pt idx="1">
                  <c:v>Santa Barbara-Sacramento/                             538miles</c:v>
                </c:pt>
                <c:pt idx="2">
                  <c:v>Santa Barbara-Fresno/                                      366miles</c:v>
                </c:pt>
                <c:pt idx="3">
                  <c:v>Santa Barbara-San Diego/                               219miles</c:v>
                </c:pt>
              </c:strCache>
            </c:strRef>
          </c:cat>
          <c:val>
            <c:numRef>
              <c:f>'RT Travel Other Regions'!$AU$19:$AU$22</c:f>
              <c:numCache>
                <c:formatCode>#,##0</c:formatCode>
                <c:ptCount val="4"/>
                <c:pt idx="0">
                  <c:v>504.90000000000009</c:v>
                </c:pt>
                <c:pt idx="1">
                  <c:v>305.70000000000005</c:v>
                </c:pt>
                <c:pt idx="2">
                  <c:v>122.70000000000005</c:v>
                </c:pt>
                <c:pt idx="3">
                  <c:v>295.70000000000005</c:v>
                </c:pt>
              </c:numCache>
            </c:numRef>
          </c:val>
          <c:extLst>
            <c:ext xmlns:c16="http://schemas.microsoft.com/office/drawing/2014/chart" uri="{C3380CC4-5D6E-409C-BE32-E72D297353CC}">
              <c16:uniqueId val="{00000003-B951-2940-AC85-7DE57C082261}"/>
            </c:ext>
          </c:extLst>
        </c:ser>
        <c:ser>
          <c:idx val="4"/>
          <c:order val="4"/>
          <c:tx>
            <c:strRef>
              <c:f>'RT Travel Other Regions'!$AV$18</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dLbl>
              <c:idx val="0"/>
              <c:layout>
                <c:manualLayout>
                  <c:x val="1.2793120536193502E-4"/>
                  <c:y val="1.09151439381631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9B-A143-83AD-CA63B424CCB7}"/>
                </c:ext>
              </c:extLst>
            </c:dLbl>
            <c:dLbl>
              <c:idx val="1"/>
              <c:layout>
                <c:manualLayout>
                  <c:x val="2.513590852477589E-3"/>
                  <c:y val="7.21721513145960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9B-A143-83AD-CA63B424CCB7}"/>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Regions'!$AQ$19:$AQ$22</c:f>
              <c:strCache>
                <c:ptCount val="4"/>
                <c:pt idx="0">
                  <c:v>Santa Barbara-Monterey/                              590miles</c:v>
                </c:pt>
                <c:pt idx="1">
                  <c:v>Santa Barbara-Sacramento/                             538miles</c:v>
                </c:pt>
                <c:pt idx="2">
                  <c:v>Santa Barbara-Fresno/                                      366miles</c:v>
                </c:pt>
                <c:pt idx="3">
                  <c:v>Santa Barbara-San Diego/                               219miles</c:v>
                </c:pt>
              </c:strCache>
            </c:strRef>
          </c:cat>
          <c:val>
            <c:numRef>
              <c:f>'RT Travel Other Regions'!$AV$19:$AV$22</c:f>
              <c:numCache>
                <c:formatCode>#,##0</c:formatCode>
                <c:ptCount val="4"/>
                <c:pt idx="0">
                  <c:v>442</c:v>
                </c:pt>
                <c:pt idx="1">
                  <c:v>350</c:v>
                </c:pt>
                <c:pt idx="2">
                  <c:v>-34</c:v>
                </c:pt>
                <c:pt idx="3">
                  <c:v>256</c:v>
                </c:pt>
              </c:numCache>
            </c:numRef>
          </c:val>
          <c:extLst>
            <c:ext xmlns:c16="http://schemas.microsoft.com/office/drawing/2014/chart" uri="{C3380CC4-5D6E-409C-BE32-E72D297353CC}">
              <c16:uniqueId val="{00000004-B951-2940-AC85-7DE57C082261}"/>
            </c:ext>
          </c:extLst>
        </c:ser>
        <c:dLbls>
          <c:showLegendKey val="0"/>
          <c:showVal val="0"/>
          <c:showCatName val="0"/>
          <c:showSerName val="0"/>
          <c:showPercent val="0"/>
          <c:showBubbleSize val="0"/>
        </c:dLbls>
        <c:gapWidth val="50"/>
        <c:axId val="-2147184216"/>
        <c:axId val="-2147190280"/>
      </c:barChart>
      <c:catAx>
        <c:axId val="-21471842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47190280"/>
        <c:crosses val="autoZero"/>
        <c:auto val="1"/>
        <c:lblAlgn val="ctr"/>
        <c:lblOffset val="100"/>
        <c:noMultiLvlLbl val="0"/>
      </c:catAx>
      <c:valAx>
        <c:axId val="-2147190280"/>
        <c:scaling>
          <c:orientation val="minMax"/>
          <c:max val="950"/>
          <c:min val="-5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47184216"/>
        <c:crosses val="autoZero"/>
        <c:crossBetween val="between"/>
      </c:valAx>
      <c:spPr>
        <a:noFill/>
        <a:ln>
          <a:noFill/>
        </a:ln>
        <a:effectLst/>
      </c:spPr>
    </c:plotArea>
    <c:legend>
      <c:legendPos val="b"/>
      <c:layout>
        <c:manualLayout>
          <c:xMode val="edge"/>
          <c:yMode val="edge"/>
          <c:x val="0"/>
          <c:y val="9.6839823323468285E-2"/>
          <c:w val="0.93854817198071327"/>
          <c:h val="0.283500027075961"/>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747655209654899E-2"/>
          <c:y val="4.3405029825811299E-2"/>
          <c:w val="0.95825234479034505"/>
          <c:h val="0.87783457059935299"/>
        </c:manualLayout>
      </c:layout>
      <c:barChart>
        <c:barDir val="col"/>
        <c:grouping val="clustered"/>
        <c:varyColors val="0"/>
        <c:ser>
          <c:idx val="0"/>
          <c:order val="0"/>
          <c:tx>
            <c:strRef>
              <c:f>'RT Travel Other Regions'!$AR$28</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Regions'!$AQ$29:$AQ$32</c:f>
              <c:strCache>
                <c:ptCount val="4"/>
                <c:pt idx="0">
                  <c:v>Redding-San Jose/                                                       522miles</c:v>
                </c:pt>
                <c:pt idx="1">
                  <c:v>Redding-Los Angeles/                                                                590miles</c:v>
                </c:pt>
                <c:pt idx="2">
                  <c:v>Redding-Fresno/                                                               323miles</c:v>
                </c:pt>
                <c:pt idx="3">
                  <c:v>Redding-San Diego/                                          710miles</c:v>
                </c:pt>
              </c:strCache>
            </c:strRef>
          </c:cat>
          <c:val>
            <c:numRef>
              <c:f>'RT Travel Other Regions'!$AR$29:$AR$32</c:f>
              <c:numCache>
                <c:formatCode>"$"#,##0</c:formatCode>
                <c:ptCount val="4"/>
                <c:pt idx="0">
                  <c:v>115</c:v>
                </c:pt>
                <c:pt idx="1">
                  <c:v>251.16000000000003</c:v>
                </c:pt>
                <c:pt idx="2">
                  <c:v>152.72</c:v>
                </c:pt>
                <c:pt idx="3">
                  <c:v>325.22000000000003</c:v>
                </c:pt>
              </c:numCache>
            </c:numRef>
          </c:val>
          <c:extLst>
            <c:ext xmlns:c16="http://schemas.microsoft.com/office/drawing/2014/chart" uri="{C3380CC4-5D6E-409C-BE32-E72D297353CC}">
              <c16:uniqueId val="{00000000-B97B-D44C-BEAA-ED982F843E93}"/>
            </c:ext>
          </c:extLst>
        </c:ser>
        <c:ser>
          <c:idx val="1"/>
          <c:order val="1"/>
          <c:tx>
            <c:strRef>
              <c:f>'RT Travel Other Regions'!$AS$28</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Regions'!$AQ$29:$AQ$32</c:f>
              <c:strCache>
                <c:ptCount val="4"/>
                <c:pt idx="0">
                  <c:v>Redding-San Jose/                                                       522miles</c:v>
                </c:pt>
                <c:pt idx="1">
                  <c:v>Redding-Los Angeles/                                                                590miles</c:v>
                </c:pt>
                <c:pt idx="2">
                  <c:v>Redding-Fresno/                                                               323miles</c:v>
                </c:pt>
                <c:pt idx="3">
                  <c:v>Redding-San Diego/                                          710miles</c:v>
                </c:pt>
              </c:strCache>
            </c:strRef>
          </c:cat>
          <c:val>
            <c:numRef>
              <c:f>'RT Travel Other Regions'!$AS$29:$AS$32</c:f>
              <c:numCache>
                <c:formatCode>"$"#,##0</c:formatCode>
                <c:ptCount val="4"/>
                <c:pt idx="0">
                  <c:v>229</c:v>
                </c:pt>
                <c:pt idx="1">
                  <c:v>297</c:v>
                </c:pt>
                <c:pt idx="2">
                  <c:v>205</c:v>
                </c:pt>
                <c:pt idx="3">
                  <c:v>370</c:v>
                </c:pt>
              </c:numCache>
            </c:numRef>
          </c:val>
          <c:extLst>
            <c:ext xmlns:c16="http://schemas.microsoft.com/office/drawing/2014/chart" uri="{C3380CC4-5D6E-409C-BE32-E72D297353CC}">
              <c16:uniqueId val="{00000001-B97B-D44C-BEAA-ED982F843E93}"/>
            </c:ext>
          </c:extLst>
        </c:ser>
        <c:ser>
          <c:idx val="2"/>
          <c:order val="2"/>
          <c:tx>
            <c:strRef>
              <c:f>'RT Travel Other Regions'!$AT$28</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Regions'!$AQ$29:$AQ$32</c:f>
              <c:strCache>
                <c:ptCount val="4"/>
                <c:pt idx="0">
                  <c:v>Redding-San Jose/                                                       522miles</c:v>
                </c:pt>
                <c:pt idx="1">
                  <c:v>Redding-Los Angeles/                                                                590miles</c:v>
                </c:pt>
                <c:pt idx="2">
                  <c:v>Redding-Fresno/                                                               323miles</c:v>
                </c:pt>
                <c:pt idx="3">
                  <c:v>Redding-San Diego/                                          710miles</c:v>
                </c:pt>
              </c:strCache>
            </c:strRef>
          </c:cat>
          <c:val>
            <c:numRef>
              <c:f>'RT Travel Other Regions'!$AT$29:$AT$32</c:f>
              <c:numCache>
                <c:formatCode>"$"#,##0</c:formatCode>
                <c:ptCount val="4"/>
                <c:pt idx="0">
                  <c:v>695</c:v>
                </c:pt>
                <c:pt idx="1">
                  <c:v>297</c:v>
                </c:pt>
                <c:pt idx="2">
                  <c:v>585</c:v>
                </c:pt>
                <c:pt idx="3">
                  <c:v>478</c:v>
                </c:pt>
              </c:numCache>
            </c:numRef>
          </c:val>
          <c:extLst>
            <c:ext xmlns:c16="http://schemas.microsoft.com/office/drawing/2014/chart" uri="{C3380CC4-5D6E-409C-BE32-E72D297353CC}">
              <c16:uniqueId val="{00000002-B97B-D44C-BEAA-ED982F843E93}"/>
            </c:ext>
          </c:extLst>
        </c:ser>
        <c:ser>
          <c:idx val="3"/>
          <c:order val="3"/>
          <c:tx>
            <c:strRef>
              <c:f>'RT Travel Other Regions'!$AU$28</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Regions'!$AQ$29:$AQ$32</c:f>
              <c:strCache>
                <c:ptCount val="4"/>
                <c:pt idx="0">
                  <c:v>Redding-San Jose/                                                       522miles</c:v>
                </c:pt>
                <c:pt idx="1">
                  <c:v>Redding-Los Angeles/                                                                590miles</c:v>
                </c:pt>
                <c:pt idx="2">
                  <c:v>Redding-Fresno/                                                               323miles</c:v>
                </c:pt>
                <c:pt idx="3">
                  <c:v>Redding-San Diego/                                          710miles</c:v>
                </c:pt>
              </c:strCache>
            </c:strRef>
          </c:cat>
          <c:val>
            <c:numRef>
              <c:f>'RT Travel Other Regions'!$AU$29:$AU$32</c:f>
              <c:numCache>
                <c:formatCode>#,##0</c:formatCode>
                <c:ptCount val="4"/>
                <c:pt idx="0">
                  <c:v>375.5</c:v>
                </c:pt>
                <c:pt idx="1">
                  <c:v>53.600000000000136</c:v>
                </c:pt>
                <c:pt idx="2">
                  <c:v>215.20000000000005</c:v>
                </c:pt>
                <c:pt idx="3">
                  <c:v>233.30000000000018</c:v>
                </c:pt>
              </c:numCache>
            </c:numRef>
          </c:val>
          <c:extLst>
            <c:ext xmlns:c16="http://schemas.microsoft.com/office/drawing/2014/chart" uri="{C3380CC4-5D6E-409C-BE32-E72D297353CC}">
              <c16:uniqueId val="{00000003-B97B-D44C-BEAA-ED982F843E93}"/>
            </c:ext>
          </c:extLst>
        </c:ser>
        <c:ser>
          <c:idx val="4"/>
          <c:order val="4"/>
          <c:tx>
            <c:strRef>
              <c:f>'RT Travel Other Regions'!$AV$28</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Regions'!$AQ$29:$AQ$32</c:f>
              <c:strCache>
                <c:ptCount val="4"/>
                <c:pt idx="0">
                  <c:v>Redding-San Jose/                                                       522miles</c:v>
                </c:pt>
                <c:pt idx="1">
                  <c:v>Redding-Los Angeles/                                                                590miles</c:v>
                </c:pt>
                <c:pt idx="2">
                  <c:v>Redding-Fresno/                                                               323miles</c:v>
                </c:pt>
                <c:pt idx="3">
                  <c:v>Redding-San Diego/                                          710miles</c:v>
                </c:pt>
              </c:strCache>
            </c:strRef>
          </c:cat>
          <c:val>
            <c:numRef>
              <c:f>'RT Travel Other Regions'!$AV$29:$AV$32</c:f>
              <c:numCache>
                <c:formatCode>#,##0</c:formatCode>
                <c:ptCount val="4"/>
                <c:pt idx="0">
                  <c:v>-258</c:v>
                </c:pt>
                <c:pt idx="1">
                  <c:v>516</c:v>
                </c:pt>
                <c:pt idx="2">
                  <c:v>272</c:v>
                </c:pt>
                <c:pt idx="3">
                  <c:v>938</c:v>
                </c:pt>
              </c:numCache>
            </c:numRef>
          </c:val>
          <c:extLst>
            <c:ext xmlns:c16="http://schemas.microsoft.com/office/drawing/2014/chart" uri="{C3380CC4-5D6E-409C-BE32-E72D297353CC}">
              <c16:uniqueId val="{00000004-B97B-D44C-BEAA-ED982F843E93}"/>
            </c:ext>
          </c:extLst>
        </c:ser>
        <c:dLbls>
          <c:showLegendKey val="0"/>
          <c:showVal val="0"/>
          <c:showCatName val="0"/>
          <c:showSerName val="0"/>
          <c:showPercent val="0"/>
          <c:showBubbleSize val="0"/>
        </c:dLbls>
        <c:gapWidth val="50"/>
        <c:axId val="-2146530200"/>
        <c:axId val="-2146526760"/>
      </c:barChart>
      <c:catAx>
        <c:axId val="-21465302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46526760"/>
        <c:crosses val="autoZero"/>
        <c:auto val="1"/>
        <c:lblAlgn val="ctr"/>
        <c:lblOffset val="100"/>
        <c:noMultiLvlLbl val="0"/>
      </c:catAx>
      <c:valAx>
        <c:axId val="-2146526760"/>
        <c:scaling>
          <c:orientation val="minMax"/>
          <c:min val="-28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46530200"/>
        <c:crosses val="autoZero"/>
        <c:crossBetween val="between"/>
      </c:valAx>
      <c:spPr>
        <a:noFill/>
        <a:ln>
          <a:noFill/>
        </a:ln>
        <a:effectLst/>
      </c:spPr>
    </c:plotArea>
    <c:legend>
      <c:legendPos val="b"/>
      <c:layout>
        <c:manualLayout>
          <c:xMode val="edge"/>
          <c:yMode val="edge"/>
          <c:x val="6.7580312354862239E-4"/>
          <c:y val="3.8037403410553269E-2"/>
          <c:w val="0.90779726596054189"/>
          <c:h val="0.2555319663907740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129055454694702E-2"/>
          <c:y val="4.4365741390600802E-2"/>
          <c:w val="0.95287094454530497"/>
          <c:h val="0.87513060423154498"/>
        </c:manualLayout>
      </c:layout>
      <c:barChart>
        <c:barDir val="col"/>
        <c:grouping val="clustered"/>
        <c:varyColors val="0"/>
        <c:ser>
          <c:idx val="0"/>
          <c:order val="0"/>
          <c:tx>
            <c:strRef>
              <c:f>'RT Travel Other Regions'!$AR$38</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Regions'!$AQ$39:$AQ$42</c:f>
              <c:strCache>
                <c:ptCount val="4"/>
                <c:pt idx="0">
                  <c:v>South Lake Tahoe-San Jose/                               425miles</c:v>
                </c:pt>
                <c:pt idx="1">
                  <c:v>South Laike Tahoe-Los Angeles/                                        541miles</c:v>
                </c:pt>
                <c:pt idx="2">
                  <c:v>South Lake Tahoe-Fresno/                                      274miles</c:v>
                </c:pt>
                <c:pt idx="3">
                  <c:v>South Lake Tahoe-San Diego/                                         661miles</c:v>
                </c:pt>
              </c:strCache>
            </c:strRef>
          </c:cat>
          <c:val>
            <c:numRef>
              <c:f>'RT Travel Other Regions'!$AR$39:$AR$42</c:f>
              <c:numCache>
                <c:formatCode>"$"#,##0</c:formatCode>
                <c:ptCount val="4"/>
                <c:pt idx="0">
                  <c:v>101.66000000000001</c:v>
                </c:pt>
                <c:pt idx="1">
                  <c:v>203.78</c:v>
                </c:pt>
                <c:pt idx="2">
                  <c:v>123.28</c:v>
                </c:pt>
                <c:pt idx="3">
                  <c:v>243.34</c:v>
                </c:pt>
              </c:numCache>
            </c:numRef>
          </c:val>
          <c:extLst>
            <c:ext xmlns:c16="http://schemas.microsoft.com/office/drawing/2014/chart" uri="{C3380CC4-5D6E-409C-BE32-E72D297353CC}">
              <c16:uniqueId val="{00000000-852E-D44C-BDB2-C533DA988E21}"/>
            </c:ext>
          </c:extLst>
        </c:ser>
        <c:ser>
          <c:idx val="1"/>
          <c:order val="1"/>
          <c:tx>
            <c:strRef>
              <c:f>'RT Travel Other Regions'!$AS$38</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Regions'!$AQ$39:$AQ$42</c:f>
              <c:strCache>
                <c:ptCount val="4"/>
                <c:pt idx="0">
                  <c:v>South Lake Tahoe-San Jose/                               425miles</c:v>
                </c:pt>
                <c:pt idx="1">
                  <c:v>South Laike Tahoe-Los Angeles/                                        541miles</c:v>
                </c:pt>
                <c:pt idx="2">
                  <c:v>South Lake Tahoe-Fresno/                                      274miles</c:v>
                </c:pt>
                <c:pt idx="3">
                  <c:v>South Lake Tahoe-San Diego/                                         661miles</c:v>
                </c:pt>
              </c:strCache>
            </c:strRef>
          </c:cat>
          <c:val>
            <c:numRef>
              <c:f>'RT Travel Other Regions'!$AS$39:$AS$42</c:f>
              <c:numCache>
                <c:formatCode>"$"#,##0</c:formatCode>
                <c:ptCount val="4"/>
                <c:pt idx="0">
                  <c:v>221</c:v>
                </c:pt>
                <c:pt idx="1">
                  <c:v>289</c:v>
                </c:pt>
                <c:pt idx="2">
                  <c:v>197</c:v>
                </c:pt>
                <c:pt idx="3">
                  <c:v>362</c:v>
                </c:pt>
              </c:numCache>
            </c:numRef>
          </c:val>
          <c:extLst>
            <c:ext xmlns:c16="http://schemas.microsoft.com/office/drawing/2014/chart" uri="{C3380CC4-5D6E-409C-BE32-E72D297353CC}">
              <c16:uniqueId val="{00000001-852E-D44C-BDB2-C533DA988E21}"/>
            </c:ext>
          </c:extLst>
        </c:ser>
        <c:ser>
          <c:idx val="2"/>
          <c:order val="2"/>
          <c:tx>
            <c:strRef>
              <c:f>'RT Travel Other Regions'!$AT$38</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Regions'!$AQ$39:$AQ$42</c:f>
              <c:strCache>
                <c:ptCount val="4"/>
                <c:pt idx="0">
                  <c:v>South Lake Tahoe-San Jose/                               425miles</c:v>
                </c:pt>
                <c:pt idx="1">
                  <c:v>South Laike Tahoe-Los Angeles/                                        541miles</c:v>
                </c:pt>
                <c:pt idx="2">
                  <c:v>South Lake Tahoe-Fresno/                                      274miles</c:v>
                </c:pt>
                <c:pt idx="3">
                  <c:v>South Lake Tahoe-San Diego/                                         661miles</c:v>
                </c:pt>
              </c:strCache>
            </c:strRef>
          </c:cat>
          <c:val>
            <c:numRef>
              <c:f>'RT Travel Other Regions'!$AT$39:$AT$42</c:f>
              <c:numCache>
                <c:formatCode>"$"#,##0</c:formatCode>
                <c:ptCount val="4"/>
                <c:pt idx="0">
                  <c:v>267</c:v>
                </c:pt>
                <c:pt idx="1">
                  <c:v>354</c:v>
                </c:pt>
                <c:pt idx="2">
                  <c:v>560</c:v>
                </c:pt>
                <c:pt idx="3">
                  <c:v>387</c:v>
                </c:pt>
              </c:numCache>
            </c:numRef>
          </c:val>
          <c:extLst>
            <c:ext xmlns:c16="http://schemas.microsoft.com/office/drawing/2014/chart" uri="{C3380CC4-5D6E-409C-BE32-E72D297353CC}">
              <c16:uniqueId val="{00000002-852E-D44C-BDB2-C533DA988E21}"/>
            </c:ext>
          </c:extLst>
        </c:ser>
        <c:ser>
          <c:idx val="3"/>
          <c:order val="3"/>
          <c:tx>
            <c:strRef>
              <c:f>'RT Travel Other Regions'!$AU$38</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Regions'!$AQ$39:$AQ$42</c:f>
              <c:strCache>
                <c:ptCount val="4"/>
                <c:pt idx="0">
                  <c:v>South Lake Tahoe-San Jose/                               425miles</c:v>
                </c:pt>
                <c:pt idx="1">
                  <c:v>South Laike Tahoe-Los Angeles/                                        541miles</c:v>
                </c:pt>
                <c:pt idx="2">
                  <c:v>South Lake Tahoe-Fresno/                                      274miles</c:v>
                </c:pt>
                <c:pt idx="3">
                  <c:v>South Lake Tahoe-San Diego/                                         661miles</c:v>
                </c:pt>
              </c:strCache>
            </c:strRef>
          </c:cat>
          <c:val>
            <c:numRef>
              <c:f>'RT Travel Other Regions'!$AU$39:$AU$42</c:f>
              <c:numCache>
                <c:formatCode>#,##0</c:formatCode>
                <c:ptCount val="4"/>
                <c:pt idx="0">
                  <c:v>528.80000000000007</c:v>
                </c:pt>
                <c:pt idx="1">
                  <c:v>144.90000000000009</c:v>
                </c:pt>
                <c:pt idx="2">
                  <c:v>360.1</c:v>
                </c:pt>
                <c:pt idx="3">
                  <c:v>354.5</c:v>
                </c:pt>
              </c:numCache>
            </c:numRef>
          </c:val>
          <c:extLst>
            <c:ext xmlns:c16="http://schemas.microsoft.com/office/drawing/2014/chart" uri="{C3380CC4-5D6E-409C-BE32-E72D297353CC}">
              <c16:uniqueId val="{00000003-852E-D44C-BDB2-C533DA988E21}"/>
            </c:ext>
          </c:extLst>
        </c:ser>
        <c:ser>
          <c:idx val="4"/>
          <c:order val="4"/>
          <c:tx>
            <c:strRef>
              <c:f>'RT Travel Other Regions'!$AV$38</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Regions'!$AQ$39:$AQ$42</c:f>
              <c:strCache>
                <c:ptCount val="4"/>
                <c:pt idx="0">
                  <c:v>South Lake Tahoe-San Jose/                               425miles</c:v>
                </c:pt>
                <c:pt idx="1">
                  <c:v>South Laike Tahoe-Los Angeles/                                        541miles</c:v>
                </c:pt>
                <c:pt idx="2">
                  <c:v>South Lake Tahoe-Fresno/                                      274miles</c:v>
                </c:pt>
                <c:pt idx="3">
                  <c:v>South Lake Tahoe-San Diego/                                         661miles</c:v>
                </c:pt>
              </c:strCache>
            </c:strRef>
          </c:cat>
          <c:val>
            <c:numRef>
              <c:f>'RT Travel Other Regions'!$AV$39:$AV$42</c:f>
              <c:numCache>
                <c:formatCode>#,##0</c:formatCode>
                <c:ptCount val="4"/>
                <c:pt idx="0">
                  <c:v>696</c:v>
                </c:pt>
                <c:pt idx="1">
                  <c:v>754</c:v>
                </c:pt>
                <c:pt idx="2">
                  <c:v>416</c:v>
                </c:pt>
                <c:pt idx="3">
                  <c:v>956</c:v>
                </c:pt>
              </c:numCache>
            </c:numRef>
          </c:val>
          <c:extLst>
            <c:ext xmlns:c16="http://schemas.microsoft.com/office/drawing/2014/chart" uri="{C3380CC4-5D6E-409C-BE32-E72D297353CC}">
              <c16:uniqueId val="{00000004-852E-D44C-BDB2-C533DA988E21}"/>
            </c:ext>
          </c:extLst>
        </c:ser>
        <c:dLbls>
          <c:showLegendKey val="0"/>
          <c:showVal val="0"/>
          <c:showCatName val="0"/>
          <c:showSerName val="0"/>
          <c:showPercent val="0"/>
          <c:showBubbleSize val="0"/>
        </c:dLbls>
        <c:gapWidth val="50"/>
        <c:axId val="-2146588392"/>
        <c:axId val="-2146584952"/>
      </c:barChart>
      <c:catAx>
        <c:axId val="-21465883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46584952"/>
        <c:crosses val="autoZero"/>
        <c:auto val="1"/>
        <c:lblAlgn val="ctr"/>
        <c:lblOffset val="100"/>
        <c:noMultiLvlLbl val="0"/>
      </c:catAx>
      <c:valAx>
        <c:axId val="-2146584952"/>
        <c:scaling>
          <c:orientation val="minMax"/>
          <c:max val="1200"/>
          <c:min val="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46588392"/>
        <c:crosses val="autoZero"/>
        <c:crossBetween val="between"/>
      </c:valAx>
      <c:spPr>
        <a:noFill/>
        <a:ln>
          <a:noFill/>
        </a:ln>
        <a:effectLst/>
      </c:spPr>
    </c:plotArea>
    <c:legend>
      <c:legendPos val="b"/>
      <c:layout>
        <c:manualLayout>
          <c:xMode val="edge"/>
          <c:yMode val="edge"/>
          <c:x val="0"/>
          <c:y val="6.5284638813167206E-2"/>
          <c:w val="0.93240308278205308"/>
          <c:h val="0.253121322041929"/>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38852018597701E-2"/>
          <c:y val="3.7770619594975699E-2"/>
          <c:w val="0.96646114798140204"/>
          <c:h val="0.89369287430359601"/>
        </c:manualLayout>
      </c:layout>
      <c:barChart>
        <c:barDir val="col"/>
        <c:grouping val="clustered"/>
        <c:varyColors val="0"/>
        <c:ser>
          <c:idx val="0"/>
          <c:order val="0"/>
          <c:tx>
            <c:strRef>
              <c:f>'RT Travel Other Regions'!$AR$48</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Regions'!$AQ$49:$AQ$52</c:f>
              <c:strCache>
                <c:ptCount val="4"/>
                <c:pt idx="0">
                  <c:v>Yosemite Valley-San Francisco/                                      292miles</c:v>
                </c:pt>
                <c:pt idx="1">
                  <c:v>Yosemite Valley-Los Angeles/                                                 360miles</c:v>
                </c:pt>
                <c:pt idx="2">
                  <c:v>Yosemite Valley-Bakersfield/                                             200miles</c:v>
                </c:pt>
                <c:pt idx="3">
                  <c:v>Yosemite Valley-Sacramento/                                                265miles</c:v>
                </c:pt>
              </c:strCache>
            </c:strRef>
          </c:cat>
          <c:val>
            <c:numRef>
              <c:f>'RT Travel Other Regions'!$AR$49:$AR$52</c:f>
              <c:numCache>
                <c:formatCode>"$"#,##0</c:formatCode>
                <c:ptCount val="4"/>
                <c:pt idx="0">
                  <c:v>86.48</c:v>
                </c:pt>
                <c:pt idx="1">
                  <c:v>144.44</c:v>
                </c:pt>
                <c:pt idx="2">
                  <c:v>93.38000000000001</c:v>
                </c:pt>
                <c:pt idx="3">
                  <c:v>75.44</c:v>
                </c:pt>
              </c:numCache>
            </c:numRef>
          </c:val>
          <c:extLst>
            <c:ext xmlns:c16="http://schemas.microsoft.com/office/drawing/2014/chart" uri="{C3380CC4-5D6E-409C-BE32-E72D297353CC}">
              <c16:uniqueId val="{00000000-1DFF-474B-83D0-67C0FDDBA7D6}"/>
            </c:ext>
          </c:extLst>
        </c:ser>
        <c:ser>
          <c:idx val="1"/>
          <c:order val="1"/>
          <c:tx>
            <c:strRef>
              <c:f>'RT Travel Other Regions'!$AS$48</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Regions'!$AQ$49:$AQ$52</c:f>
              <c:strCache>
                <c:ptCount val="4"/>
                <c:pt idx="0">
                  <c:v>Yosemite Valley-San Francisco/                                      292miles</c:v>
                </c:pt>
                <c:pt idx="1">
                  <c:v>Yosemite Valley-Los Angeles/                                                 360miles</c:v>
                </c:pt>
                <c:pt idx="2">
                  <c:v>Yosemite Valley-Bakersfield/                                             200miles</c:v>
                </c:pt>
                <c:pt idx="3">
                  <c:v>Yosemite Valley-Sacramento/                                                265miles</c:v>
                </c:pt>
              </c:strCache>
            </c:strRef>
          </c:cat>
          <c:val>
            <c:numRef>
              <c:f>'RT Travel Other Regions'!$AS$49:$AS$52</c:f>
              <c:numCache>
                <c:formatCode>"$"#,##0</c:formatCode>
                <c:ptCount val="4"/>
                <c:pt idx="0">
                  <c:v>217</c:v>
                </c:pt>
                <c:pt idx="1">
                  <c:v>233</c:v>
                </c:pt>
                <c:pt idx="2">
                  <c:v>187</c:v>
                </c:pt>
                <c:pt idx="3">
                  <c:v>183</c:v>
                </c:pt>
              </c:numCache>
            </c:numRef>
          </c:val>
          <c:extLst>
            <c:ext xmlns:c16="http://schemas.microsoft.com/office/drawing/2014/chart" uri="{C3380CC4-5D6E-409C-BE32-E72D297353CC}">
              <c16:uniqueId val="{00000001-1DFF-474B-83D0-67C0FDDBA7D6}"/>
            </c:ext>
          </c:extLst>
        </c:ser>
        <c:ser>
          <c:idx val="2"/>
          <c:order val="2"/>
          <c:tx>
            <c:strRef>
              <c:f>'RT Travel Other Regions'!$AT$48</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Regions'!$AQ$49:$AQ$52</c:f>
              <c:strCache>
                <c:ptCount val="4"/>
                <c:pt idx="0">
                  <c:v>Yosemite Valley-San Francisco/                                      292miles</c:v>
                </c:pt>
                <c:pt idx="1">
                  <c:v>Yosemite Valley-Los Angeles/                                                 360miles</c:v>
                </c:pt>
                <c:pt idx="2">
                  <c:v>Yosemite Valley-Bakersfield/                                             200miles</c:v>
                </c:pt>
                <c:pt idx="3">
                  <c:v>Yosemite Valley-Sacramento/                                                265miles</c:v>
                </c:pt>
              </c:strCache>
            </c:strRef>
          </c:cat>
          <c:val>
            <c:numRef>
              <c:f>'RT Travel Other Regions'!$AT$49:$AT$52</c:f>
              <c:numCache>
                <c:formatCode>"$"#,##0</c:formatCode>
                <c:ptCount val="4"/>
                <c:pt idx="0">
                  <c:v>577</c:v>
                </c:pt>
                <c:pt idx="1">
                  <c:v>427</c:v>
                </c:pt>
                <c:pt idx="2">
                  <c:v>624</c:v>
                </c:pt>
                <c:pt idx="3">
                  <c:v>564</c:v>
                </c:pt>
              </c:numCache>
            </c:numRef>
          </c:val>
          <c:extLst>
            <c:ext xmlns:c16="http://schemas.microsoft.com/office/drawing/2014/chart" uri="{C3380CC4-5D6E-409C-BE32-E72D297353CC}">
              <c16:uniqueId val="{00000002-1DFF-474B-83D0-67C0FDDBA7D6}"/>
            </c:ext>
          </c:extLst>
        </c:ser>
        <c:ser>
          <c:idx val="3"/>
          <c:order val="3"/>
          <c:tx>
            <c:strRef>
              <c:f>'RT Travel Other Regions'!$AU$48</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Regions'!$AQ$49:$AQ$52</c:f>
              <c:strCache>
                <c:ptCount val="4"/>
                <c:pt idx="0">
                  <c:v>Yosemite Valley-San Francisco/                                      292miles</c:v>
                </c:pt>
                <c:pt idx="1">
                  <c:v>Yosemite Valley-Los Angeles/                                                 360miles</c:v>
                </c:pt>
                <c:pt idx="2">
                  <c:v>Yosemite Valley-Bakersfield/                                             200miles</c:v>
                </c:pt>
                <c:pt idx="3">
                  <c:v>Yosemite Valley-Sacramento/                                                265miles</c:v>
                </c:pt>
              </c:strCache>
            </c:strRef>
          </c:cat>
          <c:val>
            <c:numRef>
              <c:f>'RT Travel Other Regions'!$AU$49:$AU$52</c:f>
              <c:numCache>
                <c:formatCode>#,##0</c:formatCode>
                <c:ptCount val="4"/>
                <c:pt idx="0">
                  <c:v>372.20000000000005</c:v>
                </c:pt>
                <c:pt idx="1">
                  <c:v>150.60000000000002</c:v>
                </c:pt>
                <c:pt idx="2">
                  <c:v>254.70000000000005</c:v>
                </c:pt>
                <c:pt idx="3">
                  <c:v>683.8</c:v>
                </c:pt>
              </c:numCache>
            </c:numRef>
          </c:val>
          <c:extLst>
            <c:ext xmlns:c16="http://schemas.microsoft.com/office/drawing/2014/chart" uri="{C3380CC4-5D6E-409C-BE32-E72D297353CC}">
              <c16:uniqueId val="{00000003-1DFF-474B-83D0-67C0FDDBA7D6}"/>
            </c:ext>
          </c:extLst>
        </c:ser>
        <c:ser>
          <c:idx val="4"/>
          <c:order val="4"/>
          <c:tx>
            <c:strRef>
              <c:f>'RT Travel Other Regions'!$AV$48</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Regions'!$AQ$49:$AQ$52</c:f>
              <c:strCache>
                <c:ptCount val="4"/>
                <c:pt idx="0">
                  <c:v>Yosemite Valley-San Francisco/                                      292miles</c:v>
                </c:pt>
                <c:pt idx="1">
                  <c:v>Yosemite Valley-Los Angeles/                                                 360miles</c:v>
                </c:pt>
                <c:pt idx="2">
                  <c:v>Yosemite Valley-Bakersfield/                                             200miles</c:v>
                </c:pt>
                <c:pt idx="3">
                  <c:v>Yosemite Valley-Sacramento/                                                265miles</c:v>
                </c:pt>
              </c:strCache>
            </c:strRef>
          </c:cat>
          <c:val>
            <c:numRef>
              <c:f>'RT Travel Other Regions'!$AV$49:$AV$52</c:f>
              <c:numCache>
                <c:formatCode>#,##0</c:formatCode>
                <c:ptCount val="4"/>
                <c:pt idx="0">
                  <c:v>540</c:v>
                </c:pt>
                <c:pt idx="1">
                  <c:v>548</c:v>
                </c:pt>
                <c:pt idx="2">
                  <c:v>114</c:v>
                </c:pt>
                <c:pt idx="3">
                  <c:v>504</c:v>
                </c:pt>
              </c:numCache>
            </c:numRef>
          </c:val>
          <c:extLst>
            <c:ext xmlns:c16="http://schemas.microsoft.com/office/drawing/2014/chart" uri="{C3380CC4-5D6E-409C-BE32-E72D297353CC}">
              <c16:uniqueId val="{00000004-1DFF-474B-83D0-67C0FDDBA7D6}"/>
            </c:ext>
          </c:extLst>
        </c:ser>
        <c:dLbls>
          <c:showLegendKey val="0"/>
          <c:showVal val="0"/>
          <c:showCatName val="0"/>
          <c:showSerName val="0"/>
          <c:showPercent val="0"/>
          <c:showBubbleSize val="0"/>
        </c:dLbls>
        <c:gapWidth val="50"/>
        <c:axId val="-2146660872"/>
        <c:axId val="-2146657432"/>
      </c:barChart>
      <c:catAx>
        <c:axId val="-21466608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46657432"/>
        <c:crosses val="autoZero"/>
        <c:auto val="1"/>
        <c:lblAlgn val="ctr"/>
        <c:lblOffset val="100"/>
        <c:noMultiLvlLbl val="0"/>
      </c:catAx>
      <c:valAx>
        <c:axId val="-2146657432"/>
        <c:scaling>
          <c:orientation val="minMax"/>
          <c:max val="1050"/>
          <c:min val="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46660872"/>
        <c:crosses val="autoZero"/>
        <c:crossBetween val="between"/>
      </c:valAx>
      <c:spPr>
        <a:noFill/>
        <a:ln>
          <a:noFill/>
        </a:ln>
        <a:effectLst/>
      </c:spPr>
    </c:plotArea>
    <c:legend>
      <c:legendPos val="b"/>
      <c:layout>
        <c:manualLayout>
          <c:xMode val="edge"/>
          <c:yMode val="edge"/>
          <c:x val="0"/>
          <c:y val="7.1209168180020183E-2"/>
          <c:w val="0.94017148462647882"/>
          <c:h val="0.2690565345159500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606144906542399E-2"/>
          <c:y val="4.2585322299558602E-2"/>
          <c:w val="0.94571477954551098"/>
          <c:h val="0.88014167469142401"/>
        </c:manualLayout>
      </c:layout>
      <c:barChart>
        <c:barDir val="col"/>
        <c:grouping val="clustered"/>
        <c:varyColors val="0"/>
        <c:ser>
          <c:idx val="0"/>
          <c:order val="0"/>
          <c:tx>
            <c:strRef>
              <c:f>'RT Travel Other Regions'!$AR$67</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Regions'!$AQ$68:$AQ$72</c:f>
              <c:strCache>
                <c:ptCount val="5"/>
                <c:pt idx="0">
                  <c:v>Monterey-Santa Barbara/                   585miles</c:v>
                </c:pt>
                <c:pt idx="1">
                  <c:v>Monterey-Redding/                                        556miles</c:v>
                </c:pt>
                <c:pt idx="2">
                  <c:v>Monterey-South Lake Tahoe/                            499miles</c:v>
                </c:pt>
                <c:pt idx="3">
                  <c:v>Santa Barbara-Redding/                                  695miles</c:v>
                </c:pt>
                <c:pt idx="4">
                  <c:v>Santa Barbara-S. Lake Tahoe/                             638miles</c:v>
                </c:pt>
              </c:strCache>
            </c:strRef>
          </c:cat>
          <c:val>
            <c:numRef>
              <c:f>'RT Travel Other Regions'!$AR$68:$AR$72</c:f>
              <c:numCache>
                <c:formatCode>"$"#,##0</c:formatCode>
                <c:ptCount val="5"/>
                <c:pt idx="0">
                  <c:v>108.56</c:v>
                </c:pt>
                <c:pt idx="1">
                  <c:v>144.9</c:v>
                </c:pt>
                <c:pt idx="2">
                  <c:v>131.56</c:v>
                </c:pt>
                <c:pt idx="3">
                  <c:v>240.12</c:v>
                </c:pt>
                <c:pt idx="4">
                  <c:v>224.02</c:v>
                </c:pt>
              </c:numCache>
            </c:numRef>
          </c:val>
          <c:extLst>
            <c:ext xmlns:c16="http://schemas.microsoft.com/office/drawing/2014/chart" uri="{C3380CC4-5D6E-409C-BE32-E72D297353CC}">
              <c16:uniqueId val="{00000000-37F0-1946-8CF0-BC49A826FFF8}"/>
            </c:ext>
          </c:extLst>
        </c:ser>
        <c:ser>
          <c:idx val="1"/>
          <c:order val="1"/>
          <c:tx>
            <c:strRef>
              <c:f>'RT Travel Other Regions'!$AS$67</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Regions'!$AQ$68:$AQ$72</c:f>
              <c:strCache>
                <c:ptCount val="5"/>
                <c:pt idx="0">
                  <c:v>Monterey-Santa Barbara/                   585miles</c:v>
                </c:pt>
                <c:pt idx="1">
                  <c:v>Monterey-Redding/                                        556miles</c:v>
                </c:pt>
                <c:pt idx="2">
                  <c:v>Monterey-South Lake Tahoe/                            499miles</c:v>
                </c:pt>
                <c:pt idx="3">
                  <c:v>Santa Barbara-Redding/                                  695miles</c:v>
                </c:pt>
                <c:pt idx="4">
                  <c:v>Santa Barbara-S. Lake Tahoe/                             638miles</c:v>
                </c:pt>
              </c:strCache>
            </c:strRef>
          </c:cat>
          <c:val>
            <c:numRef>
              <c:f>'RT Travel Other Regions'!$AS$68:$AS$72</c:f>
              <c:numCache>
                <c:formatCode>"$"#,##0</c:formatCode>
                <c:ptCount val="5"/>
                <c:pt idx="0">
                  <c:v>283</c:v>
                </c:pt>
                <c:pt idx="1">
                  <c:v>275</c:v>
                </c:pt>
                <c:pt idx="2">
                  <c:v>267</c:v>
                </c:pt>
                <c:pt idx="3">
                  <c:v>325</c:v>
                </c:pt>
                <c:pt idx="4">
                  <c:v>317</c:v>
                </c:pt>
              </c:numCache>
            </c:numRef>
          </c:val>
          <c:extLst>
            <c:ext xmlns:c16="http://schemas.microsoft.com/office/drawing/2014/chart" uri="{C3380CC4-5D6E-409C-BE32-E72D297353CC}">
              <c16:uniqueId val="{00000001-37F0-1946-8CF0-BC49A826FFF8}"/>
            </c:ext>
          </c:extLst>
        </c:ser>
        <c:ser>
          <c:idx val="2"/>
          <c:order val="2"/>
          <c:tx>
            <c:strRef>
              <c:f>'RT Travel Other Regions'!$AT$67</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Regions'!$AQ$68:$AQ$72</c:f>
              <c:strCache>
                <c:ptCount val="5"/>
                <c:pt idx="0">
                  <c:v>Monterey-Santa Barbara/                   585miles</c:v>
                </c:pt>
                <c:pt idx="1">
                  <c:v>Monterey-Redding/                                        556miles</c:v>
                </c:pt>
                <c:pt idx="2">
                  <c:v>Monterey-South Lake Tahoe/                            499miles</c:v>
                </c:pt>
                <c:pt idx="3">
                  <c:v>Santa Barbara-Redding/                                  695miles</c:v>
                </c:pt>
                <c:pt idx="4">
                  <c:v>Santa Barbara-S. Lake Tahoe/                             638miles</c:v>
                </c:pt>
              </c:strCache>
            </c:strRef>
          </c:cat>
          <c:val>
            <c:numRef>
              <c:f>'RT Travel Other Regions'!$AT$68:$AT$72</c:f>
              <c:numCache>
                <c:formatCode>"$"#,##0</c:formatCode>
                <c:ptCount val="5"/>
                <c:pt idx="0">
                  <c:v>800</c:v>
                </c:pt>
                <c:pt idx="1">
                  <c:v>726</c:v>
                </c:pt>
                <c:pt idx="2">
                  <c:v>298</c:v>
                </c:pt>
                <c:pt idx="3">
                  <c:v>587</c:v>
                </c:pt>
                <c:pt idx="4">
                  <c:v>570</c:v>
                </c:pt>
              </c:numCache>
            </c:numRef>
          </c:val>
          <c:extLst>
            <c:ext xmlns:c16="http://schemas.microsoft.com/office/drawing/2014/chart" uri="{C3380CC4-5D6E-409C-BE32-E72D297353CC}">
              <c16:uniqueId val="{00000002-37F0-1946-8CF0-BC49A826FFF8}"/>
            </c:ext>
          </c:extLst>
        </c:ser>
        <c:ser>
          <c:idx val="3"/>
          <c:order val="3"/>
          <c:tx>
            <c:strRef>
              <c:f>'RT Travel Other Regions'!$AU$67</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Regions'!$AQ$68:$AQ$72</c:f>
              <c:strCache>
                <c:ptCount val="5"/>
                <c:pt idx="0">
                  <c:v>Monterey-Santa Barbara/                   585miles</c:v>
                </c:pt>
                <c:pt idx="1">
                  <c:v>Monterey-Redding/                                        556miles</c:v>
                </c:pt>
                <c:pt idx="2">
                  <c:v>Monterey-South Lake Tahoe/                            499miles</c:v>
                </c:pt>
                <c:pt idx="3">
                  <c:v>Santa Barbara-Redding/                                  695miles</c:v>
                </c:pt>
                <c:pt idx="4">
                  <c:v>Santa Barbara-S. Lake Tahoe/                             638miles</c:v>
                </c:pt>
              </c:strCache>
            </c:strRef>
          </c:cat>
          <c:val>
            <c:numRef>
              <c:f>'RT Travel Other Regions'!$AU$68:$AU$72</c:f>
              <c:numCache>
                <c:formatCode>#,##0</c:formatCode>
                <c:ptCount val="5"/>
                <c:pt idx="0">
                  <c:v>456.6</c:v>
                </c:pt>
                <c:pt idx="1">
                  <c:v>626.70000000000005</c:v>
                </c:pt>
                <c:pt idx="2">
                  <c:v>644.30000000000007</c:v>
                </c:pt>
                <c:pt idx="3">
                  <c:v>400.40000000000009</c:v>
                </c:pt>
                <c:pt idx="4">
                  <c:v>372</c:v>
                </c:pt>
              </c:numCache>
            </c:numRef>
          </c:val>
          <c:extLst>
            <c:ext xmlns:c16="http://schemas.microsoft.com/office/drawing/2014/chart" uri="{C3380CC4-5D6E-409C-BE32-E72D297353CC}">
              <c16:uniqueId val="{00000003-37F0-1946-8CF0-BC49A826FFF8}"/>
            </c:ext>
          </c:extLst>
        </c:ser>
        <c:ser>
          <c:idx val="4"/>
          <c:order val="4"/>
          <c:tx>
            <c:strRef>
              <c:f>'RT Travel Other Regions'!$AV$67</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Other Regions'!$AQ$68:$AQ$72</c:f>
              <c:strCache>
                <c:ptCount val="5"/>
                <c:pt idx="0">
                  <c:v>Monterey-Santa Barbara/                   585miles</c:v>
                </c:pt>
                <c:pt idx="1">
                  <c:v>Monterey-Redding/                                        556miles</c:v>
                </c:pt>
                <c:pt idx="2">
                  <c:v>Monterey-South Lake Tahoe/                            499miles</c:v>
                </c:pt>
                <c:pt idx="3">
                  <c:v>Santa Barbara-Redding/                                  695miles</c:v>
                </c:pt>
                <c:pt idx="4">
                  <c:v>Santa Barbara-S. Lake Tahoe/                             638miles</c:v>
                </c:pt>
              </c:strCache>
            </c:strRef>
          </c:cat>
          <c:val>
            <c:numRef>
              <c:f>'RT Travel Other Regions'!$AV$68:$AV$72</c:f>
              <c:numCache>
                <c:formatCode>#,##0</c:formatCode>
                <c:ptCount val="5"/>
                <c:pt idx="0">
                  <c:v>144</c:v>
                </c:pt>
                <c:pt idx="1">
                  <c:v>76</c:v>
                </c:pt>
                <c:pt idx="2">
                  <c:v>1026</c:v>
                </c:pt>
                <c:pt idx="3">
                  <c:v>794</c:v>
                </c:pt>
                <c:pt idx="4">
                  <c:v>722</c:v>
                </c:pt>
              </c:numCache>
            </c:numRef>
          </c:val>
          <c:extLst>
            <c:ext xmlns:c16="http://schemas.microsoft.com/office/drawing/2014/chart" uri="{C3380CC4-5D6E-409C-BE32-E72D297353CC}">
              <c16:uniqueId val="{00000004-37F0-1946-8CF0-BC49A826FFF8}"/>
            </c:ext>
          </c:extLst>
        </c:ser>
        <c:dLbls>
          <c:showLegendKey val="0"/>
          <c:showVal val="0"/>
          <c:showCatName val="0"/>
          <c:showSerName val="0"/>
          <c:showPercent val="0"/>
          <c:showBubbleSize val="0"/>
        </c:dLbls>
        <c:gapWidth val="50"/>
        <c:axId val="-2146750936"/>
        <c:axId val="-2146747496"/>
      </c:barChart>
      <c:catAx>
        <c:axId val="-21467509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46747496"/>
        <c:crosses val="autoZero"/>
        <c:auto val="1"/>
        <c:lblAlgn val="ctr"/>
        <c:lblOffset val="100"/>
        <c:noMultiLvlLbl val="0"/>
      </c:catAx>
      <c:valAx>
        <c:axId val="-2146747496"/>
        <c:scaling>
          <c:orientation val="minMax"/>
          <c:max val="1500"/>
          <c:min val="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46750936"/>
        <c:crosses val="autoZero"/>
        <c:crossBetween val="between"/>
      </c:valAx>
      <c:spPr>
        <a:noFill/>
        <a:ln>
          <a:noFill/>
        </a:ln>
        <a:effectLst/>
      </c:spPr>
    </c:plotArea>
    <c:legend>
      <c:legendPos val="b"/>
      <c:layout>
        <c:manualLayout>
          <c:xMode val="edge"/>
          <c:yMode val="edge"/>
          <c:x val="2.3290564277189257E-3"/>
          <c:y val="7.0527953635556112E-2"/>
          <c:w val="0.9383975578284538"/>
          <c:h val="0.23134925969517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800"/>
            </a:pPr>
            <a:r>
              <a:rPr lang="en-US" sz="800"/>
              <a:t>Figure</a:t>
            </a:r>
            <a:r>
              <a:rPr lang="en-US" sz="800" baseline="0"/>
              <a:t> 2 - False Phase 1 - Intra-regional Routes Where HSR ServiceIs Provided </a:t>
            </a:r>
            <a:endParaRPr lang="en-US" sz="800"/>
          </a:p>
        </c:rich>
      </c:tx>
      <c:overlay val="0"/>
    </c:title>
    <c:autoTitleDeleted val="0"/>
    <c:plotArea>
      <c:layout>
        <c:manualLayout>
          <c:layoutTarget val="inner"/>
          <c:xMode val="edge"/>
          <c:yMode val="edge"/>
          <c:x val="4.7666509918379625E-2"/>
          <c:y val="1.4207285746837005E-2"/>
          <c:w val="0.95233349008162038"/>
          <c:h val="0.90836584753481575"/>
        </c:manualLayout>
      </c:layout>
      <c:barChart>
        <c:barDir val="col"/>
        <c:grouping val="clustered"/>
        <c:varyColors val="0"/>
        <c:ser>
          <c:idx val="0"/>
          <c:order val="0"/>
          <c:tx>
            <c:strRef>
              <c:f>'RT Intra-Regional Travel'!$Q$7</c:f>
              <c:strCache>
                <c:ptCount val="1"/>
                <c:pt idx="0">
                  <c:v>False Phase 1:  Cost of Driving Alone Round-Trip @ 23¢/mile, the Authority's metric for fully-loaded auto costs</c:v>
                </c:pt>
              </c:strCache>
            </c:strRef>
          </c:tx>
          <c:spPr>
            <a:pattFill prst="pct20">
              <a:fgClr>
                <a:schemeClr val="accent1">
                  <a:lumMod val="60000"/>
                  <a:lumOff val="40000"/>
                </a:schemeClr>
              </a:fgClr>
              <a:bgClr>
                <a:srgbClr val="000090"/>
              </a:bgClr>
            </a:pattFill>
          </c:spPr>
          <c:invertIfNegative val="0"/>
          <c:dLbls>
            <c:spPr>
              <a:noFill/>
              <a:ln w="25400">
                <a:noFill/>
              </a:ln>
            </c:spPr>
            <c:txPr>
              <a:bodyPr/>
              <a:lstStyle/>
              <a:p>
                <a:pPr>
                  <a:defRPr sz="6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Travel'!$P$8:$P$10</c:f>
              <c:strCache>
                <c:ptCount val="3"/>
                <c:pt idx="0">
                  <c:v>MTC's Longest Distance:                                                                         SFTBT-Gilroy/78miles</c:v>
                </c:pt>
                <c:pt idx="1">
                  <c:v>SCAG's Longest Distance                                                           Anaheim-Palmdale/84miles</c:v>
                </c:pt>
                <c:pt idx="2">
                  <c:v>SJV's Longest Distance:                                                          Merced-Bakersfield/166miles</c:v>
                </c:pt>
              </c:strCache>
            </c:strRef>
          </c:cat>
          <c:val>
            <c:numRef>
              <c:f>'RT Intra-Regional Travel'!$Q$8:$Q$10</c:f>
              <c:numCache>
                <c:formatCode>"$"#,##0</c:formatCode>
                <c:ptCount val="3"/>
                <c:pt idx="0">
                  <c:v>36.800000000000004</c:v>
                </c:pt>
                <c:pt idx="1">
                  <c:v>41.86</c:v>
                </c:pt>
                <c:pt idx="2">
                  <c:v>75.44</c:v>
                </c:pt>
              </c:numCache>
            </c:numRef>
          </c:val>
          <c:extLst>
            <c:ext xmlns:c16="http://schemas.microsoft.com/office/drawing/2014/chart" uri="{C3380CC4-5D6E-409C-BE32-E72D297353CC}">
              <c16:uniqueId val="{00000000-39FD-C549-8205-1CC08F84EED7}"/>
            </c:ext>
          </c:extLst>
        </c:ser>
        <c:ser>
          <c:idx val="1"/>
          <c:order val="1"/>
          <c:tx>
            <c:strRef>
              <c:f>'RT Intra-Regional Travel'!$R$7</c:f>
              <c:strCache>
                <c:ptCount val="1"/>
                <c:pt idx="0">
                  <c:v>False Phase 1:  Per person cost of intra-regional round-trip fares using HSR; bassed on Figure 2.2 fares</c:v>
                </c:pt>
              </c:strCache>
            </c:strRef>
          </c:tx>
          <c:spPr>
            <a:pattFill prst="dkUpDiag">
              <a:fgClr>
                <a:srgbClr val="FF0000"/>
              </a:fgClr>
              <a:bgClr>
                <a:schemeClr val="bg1"/>
              </a:bgClr>
            </a:pattFill>
          </c:spPr>
          <c:invertIfNegative val="0"/>
          <c:dLbls>
            <c:spPr>
              <a:noFill/>
              <a:ln w="25400">
                <a:noFill/>
              </a:ln>
            </c:spPr>
            <c:txPr>
              <a:bodyPr/>
              <a:lstStyle/>
              <a:p>
                <a:pPr>
                  <a:defRPr sz="6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Travel'!$P$8:$P$10</c:f>
              <c:strCache>
                <c:ptCount val="3"/>
                <c:pt idx="0">
                  <c:v>MTC's Longest Distance:                                                                         SFTBT-Gilroy/78miles</c:v>
                </c:pt>
                <c:pt idx="1">
                  <c:v>SCAG's Longest Distance                                                           Anaheim-Palmdale/84miles</c:v>
                </c:pt>
                <c:pt idx="2">
                  <c:v>SJV's Longest Distance:                                                          Merced-Bakersfield/166miles</c:v>
                </c:pt>
              </c:strCache>
            </c:strRef>
          </c:cat>
          <c:val>
            <c:numRef>
              <c:f>'RT Intra-Regional Travel'!$R$8:$R$10</c:f>
              <c:numCache>
                <c:formatCode>"$"#,##0</c:formatCode>
                <c:ptCount val="3"/>
                <c:pt idx="0">
                  <c:v>75</c:v>
                </c:pt>
                <c:pt idx="1">
                  <c:v>99</c:v>
                </c:pt>
                <c:pt idx="2">
                  <c:v>163</c:v>
                </c:pt>
              </c:numCache>
            </c:numRef>
          </c:val>
          <c:extLst>
            <c:ext xmlns:c16="http://schemas.microsoft.com/office/drawing/2014/chart" uri="{C3380CC4-5D6E-409C-BE32-E72D297353CC}">
              <c16:uniqueId val="{00000001-39FD-C549-8205-1CC08F84EED7}"/>
            </c:ext>
          </c:extLst>
        </c:ser>
        <c:ser>
          <c:idx val="2"/>
          <c:order val="2"/>
          <c:tx>
            <c:strRef>
              <c:f>'RT Intra-Regional Travel'!$S$7</c:f>
              <c:strCache>
                <c:ptCount val="1"/>
                <c:pt idx="0">
                  <c:v>False Phase 1:Per person fares for intra-regional round-trip by Caltrain, Metrolink or Amtrak (2017 $$s)</c:v>
                </c:pt>
              </c:strCache>
            </c:strRef>
          </c:tx>
          <c:spPr>
            <a:pattFill prst="pct40">
              <a:fgClr>
                <a:schemeClr val="bg1"/>
              </a:fgClr>
              <a:bgClr>
                <a:srgbClr val="660066"/>
              </a:bgClr>
            </a:pattFill>
          </c:spPr>
          <c:invertIfNegative val="0"/>
          <c:dLbls>
            <c:spPr>
              <a:noFill/>
              <a:ln w="25400">
                <a:noFill/>
              </a:ln>
            </c:spPr>
            <c:txPr>
              <a:bodyPr/>
              <a:lstStyle/>
              <a:p>
                <a:pPr>
                  <a:defRPr sz="600" b="1" i="0">
                    <a:solidFill>
                      <a:srgbClr val="660066"/>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Travel'!$P$8:$P$10</c:f>
              <c:strCache>
                <c:ptCount val="3"/>
                <c:pt idx="0">
                  <c:v>MTC's Longest Distance:                                                                         SFTBT-Gilroy/78miles</c:v>
                </c:pt>
                <c:pt idx="1">
                  <c:v>SCAG's Longest Distance                                                           Anaheim-Palmdale/84miles</c:v>
                </c:pt>
                <c:pt idx="2">
                  <c:v>SJV's Longest Distance:                                                          Merced-Bakersfield/166miles</c:v>
                </c:pt>
              </c:strCache>
            </c:strRef>
          </c:cat>
          <c:val>
            <c:numRef>
              <c:f>'RT Intra-Regional Travel'!$S$8:$S$10</c:f>
              <c:numCache>
                <c:formatCode>"$"#,##0</c:formatCode>
                <c:ptCount val="3"/>
                <c:pt idx="0">
                  <c:v>27.5</c:v>
                </c:pt>
                <c:pt idx="1">
                  <c:v>37</c:v>
                </c:pt>
                <c:pt idx="2">
                  <c:v>44</c:v>
                </c:pt>
              </c:numCache>
            </c:numRef>
          </c:val>
          <c:extLst>
            <c:ext xmlns:c16="http://schemas.microsoft.com/office/drawing/2014/chart" uri="{C3380CC4-5D6E-409C-BE32-E72D297353CC}">
              <c16:uniqueId val="{00000002-39FD-C549-8205-1CC08F84EED7}"/>
            </c:ext>
          </c:extLst>
        </c:ser>
        <c:ser>
          <c:idx val="3"/>
          <c:order val="3"/>
          <c:tx>
            <c:strRef>
              <c:f>'RT Intra-Regional Travel'!$T$7</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c:spPr>
          <c:invertIfNegative val="0"/>
          <c:dLbls>
            <c:dLbl>
              <c:idx val="0"/>
              <c:layout>
                <c:manualLayout>
                  <c:x val="1.3426158244013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FD-C549-8205-1CC08F84EED7}"/>
                </c:ext>
              </c:extLst>
            </c:dLbl>
            <c:dLbl>
              <c:idx val="2"/>
              <c:layout>
                <c:manualLayout>
                  <c:x val="7.4372474922714113E-3"/>
                  <c:y val="7.758508519056773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79-B047-88EE-01DCE5DDD917}"/>
                </c:ext>
              </c:extLst>
            </c:dLbl>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Intra-Regional Travel'!$P$8:$P$10</c:f>
              <c:strCache>
                <c:ptCount val="3"/>
                <c:pt idx="0">
                  <c:v>MTC's Longest Distance:                                                                         SFTBT-Gilroy/78miles</c:v>
                </c:pt>
                <c:pt idx="1">
                  <c:v>SCAG's Longest Distance                                                           Anaheim-Palmdale/84miles</c:v>
                </c:pt>
                <c:pt idx="2">
                  <c:v>SJV's Longest Distance:                                                          Merced-Bakersfield/166miles</c:v>
                </c:pt>
              </c:strCache>
            </c:strRef>
          </c:cat>
          <c:val>
            <c:numRef>
              <c:f>'RT Intra-Regional Travel'!$T$8:$T$10</c:f>
              <c:numCache>
                <c:formatCode>0</c:formatCode>
                <c:ptCount val="3"/>
                <c:pt idx="0">
                  <c:v>108.20000000000002</c:v>
                </c:pt>
                <c:pt idx="1">
                  <c:v>83.800000000000011</c:v>
                </c:pt>
                <c:pt idx="2">
                  <c:v>-19.5</c:v>
                </c:pt>
              </c:numCache>
            </c:numRef>
          </c:val>
          <c:extLst>
            <c:ext xmlns:c16="http://schemas.microsoft.com/office/drawing/2014/chart" uri="{C3380CC4-5D6E-409C-BE32-E72D297353CC}">
              <c16:uniqueId val="{00000004-39FD-C549-8205-1CC08F84EED7}"/>
            </c:ext>
          </c:extLst>
        </c:ser>
        <c:dLbls>
          <c:showLegendKey val="0"/>
          <c:showVal val="0"/>
          <c:showCatName val="0"/>
          <c:showSerName val="0"/>
          <c:showPercent val="0"/>
          <c:showBubbleSize val="0"/>
        </c:dLbls>
        <c:gapWidth val="60"/>
        <c:axId val="-2126807368"/>
        <c:axId val="-2126804136"/>
      </c:barChart>
      <c:catAx>
        <c:axId val="-2126807368"/>
        <c:scaling>
          <c:orientation val="minMax"/>
        </c:scaling>
        <c:delete val="0"/>
        <c:axPos val="b"/>
        <c:numFmt formatCode="General" sourceLinked="0"/>
        <c:majorTickMark val="out"/>
        <c:minorTickMark val="none"/>
        <c:tickLblPos val="low"/>
        <c:txPr>
          <a:bodyPr/>
          <a:lstStyle/>
          <a:p>
            <a:pPr>
              <a:defRPr sz="600" b="1" i="0"/>
            </a:pPr>
            <a:endParaRPr lang="en-US"/>
          </a:p>
        </c:txPr>
        <c:crossAx val="-2126804136"/>
        <c:crosses val="autoZero"/>
        <c:auto val="1"/>
        <c:lblAlgn val="ctr"/>
        <c:lblOffset val="100"/>
        <c:noMultiLvlLbl val="0"/>
      </c:catAx>
      <c:valAx>
        <c:axId val="-2126804136"/>
        <c:scaling>
          <c:orientation val="minMax"/>
          <c:max val="275"/>
          <c:min val="-25"/>
        </c:scaling>
        <c:delete val="0"/>
        <c:axPos val="l"/>
        <c:majorGridlines>
          <c:spPr>
            <a:ln w="12700" cmpd="sng">
              <a:prstDash val="sysDot"/>
            </a:ln>
          </c:spPr>
        </c:majorGridlines>
        <c:numFmt formatCode="&quot;$&quot;#,##0" sourceLinked="1"/>
        <c:majorTickMark val="out"/>
        <c:minorTickMark val="none"/>
        <c:tickLblPos val="nextTo"/>
        <c:txPr>
          <a:bodyPr/>
          <a:lstStyle/>
          <a:p>
            <a:pPr>
              <a:defRPr sz="500">
                <a:solidFill>
                  <a:srgbClr val="FF0000"/>
                </a:solidFill>
              </a:defRPr>
            </a:pPr>
            <a:endParaRPr lang="en-US"/>
          </a:p>
        </c:txPr>
        <c:crossAx val="-2126807368"/>
        <c:crosses val="autoZero"/>
        <c:crossBetween val="between"/>
        <c:majorUnit val="25"/>
      </c:valAx>
      <c:spPr>
        <a:noFill/>
        <a:ln w="25400">
          <a:noFill/>
        </a:ln>
      </c:spPr>
    </c:plotArea>
    <c:legend>
      <c:legendPos val="r"/>
      <c:layout>
        <c:manualLayout>
          <c:xMode val="edge"/>
          <c:yMode val="edge"/>
          <c:x val="2.5057851967614552E-3"/>
          <c:y val="9.3217005529370456E-2"/>
          <c:w val="0.83781663144491647"/>
          <c:h val="0.21814325286669142"/>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2" r="0.75000000000000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900">
                <a:solidFill>
                  <a:srgbClr val="FF0000"/>
                </a:solidFill>
              </a:defRPr>
            </a:pPr>
            <a:r>
              <a:rPr lang="en-US" sz="900">
                <a:solidFill>
                  <a:srgbClr val="000000"/>
                </a:solidFill>
              </a:rPr>
              <a:t>Auto travel</a:t>
            </a:r>
            <a:r>
              <a:rPr lang="en-US" sz="900" baseline="0">
                <a:solidFill>
                  <a:srgbClr val="000000"/>
                </a:solidFill>
              </a:rPr>
              <a:t> for the </a:t>
            </a:r>
            <a:r>
              <a:rPr lang="en-US" sz="900" baseline="0">
                <a:solidFill>
                  <a:srgbClr val="FF0000"/>
                </a:solidFill>
              </a:rPr>
              <a:t>LONGEST</a:t>
            </a:r>
            <a:r>
              <a:rPr lang="en-US" sz="900" baseline="0">
                <a:solidFill>
                  <a:srgbClr val="000000"/>
                </a:solidFill>
              </a:rPr>
              <a:t> MTC and SCAG intra-regional distances, 78 and 84miles respectively, is both faster and cheaper than HSR travel: therefore HSR is not competitive with Auto for trips of &lt;50miles </a:t>
            </a:r>
            <a:endParaRPr lang="en-US" sz="900">
              <a:solidFill>
                <a:srgbClr val="000000"/>
              </a:solidFill>
            </a:endParaRPr>
          </a:p>
        </c:rich>
      </c:tx>
      <c:layout>
        <c:manualLayout>
          <c:xMode val="edge"/>
          <c:yMode val="edge"/>
          <c:x val="0.15482363115015199"/>
          <c:y val="0.850747363300565"/>
        </c:manualLayout>
      </c:layout>
      <c:overlay val="1"/>
      <c:spPr>
        <a:noFill/>
        <a:ln w="25400">
          <a:noFill/>
        </a:ln>
      </c:spPr>
    </c:title>
    <c:autoTitleDeleted val="0"/>
    <c:plotArea>
      <c:layout/>
      <c:barChart>
        <c:barDir val="col"/>
        <c:grouping val="clustered"/>
        <c:varyColors val="0"/>
        <c:ser>
          <c:idx val="0"/>
          <c:order val="0"/>
          <c:tx>
            <c:strRef>
              <c:f>'RT &lt;50miles MTC-SCAG'!$Q$7</c:f>
              <c:strCache>
                <c:ptCount val="1"/>
                <c:pt idx="0">
                  <c:v>False Phase 1: Cost of Driving Alone Round-Trip @ 23¢/mile, the Authority's metric for fully-loaded auto costs</c:v>
                </c:pt>
              </c:strCache>
            </c:strRef>
          </c:tx>
          <c:spPr>
            <a:pattFill prst="pct5">
              <a:fgClr>
                <a:schemeClr val="accent1">
                  <a:lumMod val="60000"/>
                  <a:lumOff val="40000"/>
                </a:schemeClr>
              </a:fgClr>
              <a:bgClr>
                <a:srgbClr val="000090"/>
              </a:bgClr>
            </a:pattFill>
          </c:spPr>
          <c:invertIfNegative val="0"/>
          <c:dLbls>
            <c:spPr>
              <a:noFill/>
              <a:ln w="25400">
                <a:noFill/>
              </a:ln>
            </c:spPr>
            <c:txPr>
              <a:bodyPr/>
              <a:lstStyle/>
              <a:p>
                <a:pPr>
                  <a:defRPr sz="700" b="1" i="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&lt;50miles MTC-SCAG'!$P$8:$P$9</c:f>
              <c:strCache>
                <c:ptCount val="2"/>
                <c:pt idx="0">
                  <c:v>False Phase 1: MTC's Longest internal Distance: SFTBT-Gilroy/78miles, which is &gt;50miles                                           </c:v>
                </c:pt>
                <c:pt idx="1">
                  <c:v>False Phase 1:  SCAG's Longest Internal Distance: Anaheim-Palmdale/84 miles, which is &gt;50miles</c:v>
                </c:pt>
              </c:strCache>
            </c:strRef>
          </c:cat>
          <c:val>
            <c:numRef>
              <c:f>'RT &lt;50miles MTC-SCAG'!$Q$8:$Q$9</c:f>
              <c:numCache>
                <c:formatCode>"$"#,##0</c:formatCode>
                <c:ptCount val="2"/>
                <c:pt idx="0">
                  <c:v>36.800000000000004</c:v>
                </c:pt>
                <c:pt idx="1">
                  <c:v>41.86</c:v>
                </c:pt>
              </c:numCache>
            </c:numRef>
          </c:val>
          <c:extLst>
            <c:ext xmlns:c16="http://schemas.microsoft.com/office/drawing/2014/chart" uri="{C3380CC4-5D6E-409C-BE32-E72D297353CC}">
              <c16:uniqueId val="{00000000-3D00-E048-8E9C-05DB57077607}"/>
            </c:ext>
          </c:extLst>
        </c:ser>
        <c:ser>
          <c:idx val="1"/>
          <c:order val="1"/>
          <c:tx>
            <c:strRef>
              <c:f>'RT &lt;50miles MTC-SCAG'!$R$7</c:f>
              <c:strCache>
                <c:ptCount val="1"/>
                <c:pt idx="0">
                  <c:v>False Phase 1: Per person cost of intra-regional round-trip fares using HSR; bassed on Figure 2.2 fares</c:v>
                </c:pt>
              </c:strCache>
            </c:strRef>
          </c:tx>
          <c:spPr>
            <a:pattFill prst="dkUpDiag">
              <a:fgClr>
                <a:srgbClr val="FF0000"/>
              </a:fgClr>
              <a:bgClr>
                <a:schemeClr val="bg1"/>
              </a:bgClr>
            </a:pattFill>
            <a:ln>
              <a:noFill/>
            </a:ln>
          </c:spPr>
          <c:invertIfNegative val="0"/>
          <c:dLbls>
            <c:spPr>
              <a:noFill/>
              <a:ln w="25400">
                <a:noFill/>
              </a:ln>
            </c:spPr>
            <c:txPr>
              <a:bodyPr/>
              <a:lstStyle/>
              <a:p>
                <a:pPr>
                  <a:defRPr sz="700" b="1" i="0">
                    <a:solidFill>
                      <a:srgbClr val="FF0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&lt;50miles MTC-SCAG'!$P$8:$P$9</c:f>
              <c:strCache>
                <c:ptCount val="2"/>
                <c:pt idx="0">
                  <c:v>False Phase 1: MTC's Longest internal Distance: SFTBT-Gilroy/78miles, which is &gt;50miles                                           </c:v>
                </c:pt>
                <c:pt idx="1">
                  <c:v>False Phase 1:  SCAG's Longest Internal Distance: Anaheim-Palmdale/84 miles, which is &gt;50miles</c:v>
                </c:pt>
              </c:strCache>
            </c:strRef>
          </c:cat>
          <c:val>
            <c:numRef>
              <c:f>'RT &lt;50miles MTC-SCAG'!$R$8:$R$9</c:f>
              <c:numCache>
                <c:formatCode>"$"#,##0</c:formatCode>
                <c:ptCount val="2"/>
                <c:pt idx="0">
                  <c:v>52</c:v>
                </c:pt>
                <c:pt idx="1">
                  <c:v>76</c:v>
                </c:pt>
              </c:numCache>
            </c:numRef>
          </c:val>
          <c:extLst>
            <c:ext xmlns:c16="http://schemas.microsoft.com/office/drawing/2014/chart" uri="{C3380CC4-5D6E-409C-BE32-E72D297353CC}">
              <c16:uniqueId val="{00000001-3D00-E048-8E9C-05DB57077607}"/>
            </c:ext>
          </c:extLst>
        </c:ser>
        <c:ser>
          <c:idx val="2"/>
          <c:order val="2"/>
          <c:tx>
            <c:strRef>
              <c:f>'RT &lt;50miles MTC-SCAG'!$S$7</c:f>
              <c:strCache>
                <c:ptCount val="1"/>
                <c:pt idx="0">
                  <c:v>False Phase 1: Per person fares for intra-regional round-trip by Caltrain, Metrolink or Amtrak (2017 $$s)</c:v>
                </c:pt>
              </c:strCache>
            </c:strRef>
          </c:tx>
          <c:spPr>
            <a:pattFill prst="pct40">
              <a:fgClr>
                <a:schemeClr val="bg1"/>
              </a:fgClr>
              <a:bgClr>
                <a:srgbClr val="660066"/>
              </a:bgClr>
            </a:pattFill>
          </c:spPr>
          <c:invertIfNegative val="0"/>
          <c:dLbls>
            <c:spPr>
              <a:noFill/>
              <a:ln w="25400">
                <a:noFill/>
              </a:ln>
            </c:spPr>
            <c:txPr>
              <a:bodyPr/>
              <a:lstStyle/>
              <a:p>
                <a:pPr>
                  <a:defRPr sz="700" b="1" i="0">
                    <a:solidFill>
                      <a:srgbClr val="660066"/>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&lt;50miles MTC-SCAG'!$P$8:$P$9</c:f>
              <c:strCache>
                <c:ptCount val="2"/>
                <c:pt idx="0">
                  <c:v>False Phase 1: MTC's Longest internal Distance: SFTBT-Gilroy/78miles, which is &gt;50miles                                           </c:v>
                </c:pt>
                <c:pt idx="1">
                  <c:v>False Phase 1:  SCAG's Longest Internal Distance: Anaheim-Palmdale/84 miles, which is &gt;50miles</c:v>
                </c:pt>
              </c:strCache>
            </c:strRef>
          </c:cat>
          <c:val>
            <c:numRef>
              <c:f>'RT &lt;50miles MTC-SCAG'!$S$8:$S$9</c:f>
              <c:numCache>
                <c:formatCode>"$"#,##0</c:formatCode>
                <c:ptCount val="2"/>
                <c:pt idx="0">
                  <c:v>27.5</c:v>
                </c:pt>
                <c:pt idx="1">
                  <c:v>37</c:v>
                </c:pt>
              </c:numCache>
            </c:numRef>
          </c:val>
          <c:extLst>
            <c:ext xmlns:c16="http://schemas.microsoft.com/office/drawing/2014/chart" uri="{C3380CC4-5D6E-409C-BE32-E72D297353CC}">
              <c16:uniqueId val="{00000002-3D00-E048-8E9C-05DB57077607}"/>
            </c:ext>
          </c:extLst>
        </c:ser>
        <c:ser>
          <c:idx val="3"/>
          <c:order val="3"/>
          <c:tx>
            <c:strRef>
              <c:f>'RT &lt;50miles MTC-SCAG'!$T$7</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c:spPr>
          <c:invertIfNegative val="0"/>
          <c:dLbls>
            <c:dLbl>
              <c:idx val="0"/>
              <c:layout>
                <c:manualLayout>
                  <c:x val="-1.58764332408153E-3"/>
                  <c:y val="2.465581961442920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00-E048-8E9C-05DB57077607}"/>
                </c:ext>
              </c:extLst>
            </c:dLbl>
            <c:dLbl>
              <c:idx val="1"/>
              <c:layout>
                <c:manualLayout>
                  <c:x val="-8.3436746776823605E-3"/>
                  <c:y val="-1.2005221760170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00-E048-8E9C-05DB57077607}"/>
                </c:ext>
              </c:extLst>
            </c:dLbl>
            <c:spPr>
              <a:noFill/>
              <a:ln w="25400">
                <a:noFill/>
              </a:ln>
            </c:spPr>
            <c:txPr>
              <a:bodyPr/>
              <a:lstStyle/>
              <a:p>
                <a:pPr>
                  <a:defRPr sz="600" b="1" i="0">
                    <a:solidFill>
                      <a:srgbClr val="008000"/>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'RT &lt;50miles MTC-SCAG'!$P$8:$P$9</c:f>
              <c:strCache>
                <c:ptCount val="2"/>
                <c:pt idx="0">
                  <c:v>False Phase 1: MTC's Longest internal Distance: SFTBT-Gilroy/78miles, which is &gt;50miles                                           </c:v>
                </c:pt>
                <c:pt idx="1">
                  <c:v>False Phase 1:  SCAG's Longest Internal Distance: Anaheim-Palmdale/84 miles, which is &gt;50miles</c:v>
                </c:pt>
              </c:strCache>
            </c:strRef>
          </c:cat>
          <c:val>
            <c:numRef>
              <c:f>'RT &lt;50miles MTC-SCAG'!$T$8:$T$9</c:f>
              <c:numCache>
                <c:formatCode>0</c:formatCode>
                <c:ptCount val="2"/>
                <c:pt idx="0">
                  <c:v>34.799999999999983</c:v>
                </c:pt>
                <c:pt idx="1">
                  <c:v>141.19999999999999</c:v>
                </c:pt>
              </c:numCache>
            </c:numRef>
          </c:val>
          <c:extLst>
            <c:ext xmlns:c16="http://schemas.microsoft.com/office/drawing/2014/chart" uri="{C3380CC4-5D6E-409C-BE32-E72D297353CC}">
              <c16:uniqueId val="{00000005-3D00-E048-8E9C-05DB57077607}"/>
            </c:ext>
          </c:extLst>
        </c:ser>
        <c:dLbls>
          <c:showLegendKey val="0"/>
          <c:showVal val="0"/>
          <c:showCatName val="0"/>
          <c:showSerName val="0"/>
          <c:showPercent val="0"/>
          <c:showBubbleSize val="0"/>
        </c:dLbls>
        <c:gapWidth val="150"/>
        <c:axId val="-2139633288"/>
        <c:axId val="-2139553688"/>
      </c:barChart>
      <c:catAx>
        <c:axId val="-2139633288"/>
        <c:scaling>
          <c:orientation val="minMax"/>
        </c:scaling>
        <c:delete val="0"/>
        <c:axPos val="b"/>
        <c:numFmt formatCode="General" sourceLinked="1"/>
        <c:majorTickMark val="out"/>
        <c:minorTickMark val="none"/>
        <c:tickLblPos val="low"/>
        <c:txPr>
          <a:bodyPr/>
          <a:lstStyle/>
          <a:p>
            <a:pPr>
              <a:defRPr sz="600" b="1" i="0"/>
            </a:pPr>
            <a:endParaRPr lang="en-US"/>
          </a:p>
        </c:txPr>
        <c:crossAx val="-2139553688"/>
        <c:crosses val="autoZero"/>
        <c:auto val="1"/>
        <c:lblAlgn val="ctr"/>
        <c:lblOffset val="100"/>
        <c:noMultiLvlLbl val="0"/>
      </c:catAx>
      <c:valAx>
        <c:axId val="-2139553688"/>
        <c:scaling>
          <c:orientation val="minMax"/>
          <c:max val="150"/>
          <c:min val="-20"/>
        </c:scaling>
        <c:delete val="0"/>
        <c:axPos val="l"/>
        <c:majorGridlines>
          <c:spPr>
            <a:ln w="12700" cmpd="sng">
              <a:prstDash val="sysDot"/>
            </a:ln>
          </c:spPr>
        </c:majorGridlines>
        <c:numFmt formatCode="&quot;$&quot;#,##0" sourceLinked="1"/>
        <c:majorTickMark val="out"/>
        <c:minorTickMark val="none"/>
        <c:tickLblPos val="nextTo"/>
        <c:txPr>
          <a:bodyPr/>
          <a:lstStyle/>
          <a:p>
            <a:pPr>
              <a:defRPr sz="500"/>
            </a:pPr>
            <a:endParaRPr lang="en-US"/>
          </a:p>
        </c:txPr>
        <c:crossAx val="-2139633288"/>
        <c:crosses val="autoZero"/>
        <c:crossBetween val="between"/>
      </c:valAx>
      <c:spPr>
        <a:noFill/>
        <a:ln w="25400">
          <a:noFill/>
        </a:ln>
      </c:spPr>
    </c:plotArea>
    <c:legend>
      <c:legendPos val="r"/>
      <c:layout>
        <c:manualLayout>
          <c:xMode val="edge"/>
          <c:yMode val="edge"/>
          <c:x val="4.8131223531844569E-3"/>
          <c:y val="0.11823940632284159"/>
          <c:w val="0.76915993519840564"/>
          <c:h val="0.19219462325200201"/>
        </c:manualLayout>
      </c:layout>
      <c:overlay val="1"/>
      <c:txPr>
        <a:bodyPr/>
        <a:lstStyle/>
        <a:p>
          <a:pPr>
            <a:defRPr sz="600" b="1" i="0"/>
          </a:pPr>
          <a:endParaRPr lang="en-US"/>
        </a:p>
      </c:txPr>
    </c:legend>
    <c:plotVisOnly val="1"/>
    <c:dispBlanksAs val="gap"/>
    <c:showDLblsOverMax val="0"/>
  </c:chart>
  <c:spPr>
    <a:noFill/>
    <a:ln w="9525">
      <a:noFill/>
    </a:ln>
  </c:spPr>
  <c:printSettings>
    <c:headerFooter/>
    <c:pageMargins b="1" l="0.750000000000001" r="0.75000000000000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980341573541899E-2"/>
          <c:y val="2.3148148148148098E-2"/>
          <c:w val="0.96601965842645798"/>
          <c:h val="0.90741327150585005"/>
        </c:manualLayout>
      </c:layout>
      <c:barChart>
        <c:barDir val="col"/>
        <c:grouping val="clustered"/>
        <c:varyColors val="0"/>
        <c:ser>
          <c:idx val="0"/>
          <c:order val="0"/>
          <c:tx>
            <c:strRef>
              <c:f>'RT &lt;50miles MTC-SCAG'!$Q$15:$Q$16</c:f>
              <c:strCache>
                <c:ptCount val="2"/>
                <c:pt idx="0">
                  <c:v>False Phase 1: Cost of Driving Alone Round-Trip @ 23¢/mile, the Authority's metric for fully-loaded auto costs</c:v>
                </c:pt>
              </c:strCache>
            </c:strRef>
          </c:tx>
          <c:spPr>
            <a:pattFill prst="pct20">
              <a:fgClr>
                <a:schemeClr val="accent1">
                  <a:lumMod val="60000"/>
                  <a:lumOff val="40000"/>
                </a:schemeClr>
              </a:fgClr>
              <a:bgClr>
                <a:srgbClr val="000090"/>
              </a:bgClr>
            </a:pattFill>
            <a:ln>
              <a:noFill/>
            </a:ln>
            <a:effectLst/>
          </c:spPr>
          <c:invertIfNegative val="0"/>
          <c:dLbls>
            <c:dLbl>
              <c:idx val="0"/>
              <c:layout>
                <c:manualLayout>
                  <c:x val="0"/>
                  <c:y val="1.8241444939828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C6-E149-963B-65FAA7295AF8}"/>
                </c:ext>
              </c:extLst>
            </c:dLbl>
            <c:dLbl>
              <c:idx val="1"/>
              <c:layout>
                <c:manualLayout>
                  <c:x val="2.0873350861469499E-3"/>
                  <c:y val="8.31893382655067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C6-E149-963B-65FAA7295AF8}"/>
                </c:ext>
              </c:extLst>
            </c:dLbl>
            <c:dLbl>
              <c:idx val="2"/>
              <c:layout>
                <c:manualLayout>
                  <c:x val="0"/>
                  <c:y val="1.3280326347426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C6-E149-963B-65FAA7295AF8}"/>
                </c:ext>
              </c:extLst>
            </c:dLbl>
            <c:dLbl>
              <c:idx val="3"/>
              <c:layout>
                <c:manualLayout>
                  <c:x val="-7.6534735689591099E-17"/>
                  <c:y val="1.527671706585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C6-E149-963B-65FAA7295AF8}"/>
                </c:ext>
              </c:extLst>
            </c:dLbl>
            <c:dLbl>
              <c:idx val="4"/>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0-AC59-8149-9337-6BC71748C467}"/>
                </c:ext>
              </c:extLst>
            </c:dLbl>
            <c:dLbl>
              <c:idx val="5"/>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1-AC59-8149-9337-6BC71748C467}"/>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009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&lt;50miles MTC-SCAG'!$P$17:$P$22</c:f>
              <c:strCache>
                <c:ptCount val="6"/>
                <c:pt idx="0">
                  <c:v>Burbank (BUR)-LAUS/     6miles</c:v>
                </c:pt>
                <c:pt idx="1">
                  <c:v>OC Gateway-Anaheim/     13miles</c:v>
                </c:pt>
                <c:pt idx="2">
                  <c:v>LAUS-OC Gateway/              14miles</c:v>
                </c:pt>
                <c:pt idx="3">
                  <c:v>SF-Millbrae/                           15miles</c:v>
                </c:pt>
                <c:pt idx="4">
                  <c:v>Burbank-OC Gateway/                20miles</c:v>
                </c:pt>
                <c:pt idx="5">
                  <c:v>LAUS Anaheim/                 27miles</c:v>
                </c:pt>
              </c:strCache>
            </c:strRef>
          </c:cat>
          <c:val>
            <c:numRef>
              <c:f>'RT &lt;50miles MTC-SCAG'!$Q$17:$Q$22</c:f>
              <c:numCache>
                <c:formatCode>"$"#,##0</c:formatCode>
                <c:ptCount val="6"/>
                <c:pt idx="0">
                  <c:v>7.82</c:v>
                </c:pt>
                <c:pt idx="1">
                  <c:v>6.9</c:v>
                </c:pt>
                <c:pt idx="2">
                  <c:v>7.36</c:v>
                </c:pt>
                <c:pt idx="3">
                  <c:v>6.9</c:v>
                </c:pt>
                <c:pt idx="4">
                  <c:v>13.8</c:v>
                </c:pt>
                <c:pt idx="5">
                  <c:v>13.34</c:v>
                </c:pt>
              </c:numCache>
            </c:numRef>
          </c:val>
          <c:extLst>
            <c:ext xmlns:c16="http://schemas.microsoft.com/office/drawing/2014/chart" uri="{C3380CC4-5D6E-409C-BE32-E72D297353CC}">
              <c16:uniqueId val="{00000000-50C6-E149-963B-65FAA7295AF8}"/>
            </c:ext>
          </c:extLst>
        </c:ser>
        <c:ser>
          <c:idx val="1"/>
          <c:order val="1"/>
          <c:tx>
            <c:strRef>
              <c:f>'RT &lt;50miles MTC-SCAG'!$R$15:$R$16</c:f>
              <c:strCache>
                <c:ptCount val="2"/>
                <c:pt idx="0">
                  <c:v>False Phase 1:  Per person cost of intra-regional round-trip fares using HSR; bassed on Figure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&lt;50miles MTC-SCAG'!$P$17:$P$22</c:f>
              <c:strCache>
                <c:ptCount val="6"/>
                <c:pt idx="0">
                  <c:v>Burbank (BUR)-LAUS/     6miles</c:v>
                </c:pt>
                <c:pt idx="1">
                  <c:v>OC Gateway-Anaheim/     13miles</c:v>
                </c:pt>
                <c:pt idx="2">
                  <c:v>LAUS-OC Gateway/              14miles</c:v>
                </c:pt>
                <c:pt idx="3">
                  <c:v>SF-Millbrae/                           15miles</c:v>
                </c:pt>
                <c:pt idx="4">
                  <c:v>Burbank-OC Gateway/                20miles</c:v>
                </c:pt>
                <c:pt idx="5">
                  <c:v>LAUS Anaheim/                 27miles</c:v>
                </c:pt>
              </c:strCache>
            </c:strRef>
          </c:cat>
          <c:val>
            <c:numRef>
              <c:f>'RT &lt;50miles MTC-SCAG'!$R$17:$R$22</c:f>
              <c:numCache>
                <c:formatCode>"$"#,##0</c:formatCode>
                <c:ptCount val="6"/>
                <c:pt idx="0">
                  <c:v>56</c:v>
                </c:pt>
                <c:pt idx="1">
                  <c:v>56</c:v>
                </c:pt>
                <c:pt idx="2">
                  <c:v>56</c:v>
                </c:pt>
                <c:pt idx="3">
                  <c:v>38</c:v>
                </c:pt>
                <c:pt idx="4">
                  <c:v>64</c:v>
                </c:pt>
                <c:pt idx="5">
                  <c:v>64</c:v>
                </c:pt>
              </c:numCache>
            </c:numRef>
          </c:val>
          <c:extLst>
            <c:ext xmlns:c16="http://schemas.microsoft.com/office/drawing/2014/chart" uri="{C3380CC4-5D6E-409C-BE32-E72D297353CC}">
              <c16:uniqueId val="{00000001-50C6-E149-963B-65FAA7295AF8}"/>
            </c:ext>
          </c:extLst>
        </c:ser>
        <c:ser>
          <c:idx val="2"/>
          <c:order val="2"/>
          <c:tx>
            <c:strRef>
              <c:f>'RT &lt;50miles MTC-SCAG'!$S$15:$S$16</c:f>
              <c:strCache>
                <c:ptCount val="2"/>
                <c:pt idx="0">
                  <c:v>False Phase 1: Per person fares for intra-regional round-trip by Caltrain, Metrolink or Amtrak (2017 $$s)</c:v>
                </c:pt>
              </c:strCache>
            </c:strRef>
          </c:tx>
          <c:spPr>
            <a:pattFill prst="pct40">
              <a:fgClr>
                <a:schemeClr val="bg1"/>
              </a:fgClr>
              <a:bgClr>
                <a:srgbClr val="660066"/>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660066"/>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&lt;50miles MTC-SCAG'!$P$17:$P$22</c:f>
              <c:strCache>
                <c:ptCount val="6"/>
                <c:pt idx="0">
                  <c:v>Burbank (BUR)-LAUS/     6miles</c:v>
                </c:pt>
                <c:pt idx="1">
                  <c:v>OC Gateway-Anaheim/     13miles</c:v>
                </c:pt>
                <c:pt idx="2">
                  <c:v>LAUS-OC Gateway/              14miles</c:v>
                </c:pt>
                <c:pt idx="3">
                  <c:v>SF-Millbrae/                           15miles</c:v>
                </c:pt>
                <c:pt idx="4">
                  <c:v>Burbank-OC Gateway/                20miles</c:v>
                </c:pt>
                <c:pt idx="5">
                  <c:v>LAUS Anaheim/                 27miles</c:v>
                </c:pt>
              </c:strCache>
            </c:strRef>
          </c:cat>
          <c:val>
            <c:numRef>
              <c:f>'RT &lt;50miles MTC-SCAG'!$S$17:$S$22</c:f>
              <c:numCache>
                <c:formatCode>"$"#,##0</c:formatCode>
                <c:ptCount val="6"/>
                <c:pt idx="0">
                  <c:v>12</c:v>
                </c:pt>
                <c:pt idx="1">
                  <c:v>12</c:v>
                </c:pt>
                <c:pt idx="2">
                  <c:v>13</c:v>
                </c:pt>
                <c:pt idx="3">
                  <c:v>11.5</c:v>
                </c:pt>
                <c:pt idx="4">
                  <c:v>17.5</c:v>
                </c:pt>
                <c:pt idx="5">
                  <c:v>17.5</c:v>
                </c:pt>
              </c:numCache>
            </c:numRef>
          </c:val>
          <c:extLst>
            <c:ext xmlns:c16="http://schemas.microsoft.com/office/drawing/2014/chart" uri="{C3380CC4-5D6E-409C-BE32-E72D297353CC}">
              <c16:uniqueId val="{00000002-50C6-E149-963B-65FAA7295AF8}"/>
            </c:ext>
          </c:extLst>
        </c:ser>
        <c:ser>
          <c:idx val="3"/>
          <c:order val="3"/>
          <c:tx>
            <c:strRef>
              <c:f>'RT &lt;50miles MTC-SCAG'!$T$15:$T$16</c:f>
              <c:strCache>
                <c:ptCount val="2"/>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&lt;50miles MTC-SCAG'!$P$17:$P$22</c:f>
              <c:strCache>
                <c:ptCount val="6"/>
                <c:pt idx="0">
                  <c:v>Burbank (BUR)-LAUS/     6miles</c:v>
                </c:pt>
                <c:pt idx="1">
                  <c:v>OC Gateway-Anaheim/     13miles</c:v>
                </c:pt>
                <c:pt idx="2">
                  <c:v>LAUS-OC Gateway/              14miles</c:v>
                </c:pt>
                <c:pt idx="3">
                  <c:v>SF-Millbrae/                           15miles</c:v>
                </c:pt>
                <c:pt idx="4">
                  <c:v>Burbank-OC Gateway/                20miles</c:v>
                </c:pt>
                <c:pt idx="5">
                  <c:v>LAUS Anaheim/                 27miles</c:v>
                </c:pt>
              </c:strCache>
            </c:strRef>
          </c:cat>
          <c:val>
            <c:numRef>
              <c:f>'RT &lt;50miles MTC-SCAG'!$T$17:$T$22</c:f>
              <c:numCache>
                <c:formatCode>#,##0</c:formatCode>
                <c:ptCount val="6"/>
                <c:pt idx="0">
                  <c:v>136.6</c:v>
                </c:pt>
                <c:pt idx="1">
                  <c:v>103.9</c:v>
                </c:pt>
                <c:pt idx="2">
                  <c:v>186.7</c:v>
                </c:pt>
                <c:pt idx="3">
                  <c:v>147.80000000000001</c:v>
                </c:pt>
                <c:pt idx="4">
                  <c:v>162.19999999999999</c:v>
                </c:pt>
                <c:pt idx="5">
                  <c:v>149.9</c:v>
                </c:pt>
              </c:numCache>
            </c:numRef>
          </c:val>
          <c:extLst>
            <c:ext xmlns:c16="http://schemas.microsoft.com/office/drawing/2014/chart" uri="{C3380CC4-5D6E-409C-BE32-E72D297353CC}">
              <c16:uniqueId val="{00000003-50C6-E149-963B-65FAA7295AF8}"/>
            </c:ext>
          </c:extLst>
        </c:ser>
        <c:dLbls>
          <c:showLegendKey val="0"/>
          <c:showVal val="0"/>
          <c:showCatName val="0"/>
          <c:showSerName val="0"/>
          <c:showPercent val="0"/>
          <c:showBubbleSize val="0"/>
        </c:dLbls>
        <c:gapWidth val="51"/>
        <c:axId val="-2139366376"/>
        <c:axId val="-2139362792"/>
      </c:barChart>
      <c:catAx>
        <c:axId val="-2139366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39362792"/>
        <c:crosses val="autoZero"/>
        <c:auto val="1"/>
        <c:lblAlgn val="ctr"/>
        <c:lblOffset val="100"/>
        <c:noMultiLvlLbl val="0"/>
      </c:catAx>
      <c:valAx>
        <c:axId val="-2139362792"/>
        <c:scaling>
          <c:orientation val="minMax"/>
          <c:max val="25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2139366376"/>
        <c:crosses val="autoZero"/>
        <c:crossBetween val="between"/>
      </c:valAx>
      <c:spPr>
        <a:noFill/>
        <a:ln>
          <a:noFill/>
        </a:ln>
        <a:effectLst/>
      </c:spPr>
    </c:plotArea>
    <c:legend>
      <c:legendPos val="b"/>
      <c:layout>
        <c:manualLayout>
          <c:xMode val="edge"/>
          <c:yMode val="edge"/>
          <c:x val="6.2620062876460004E-3"/>
          <c:y val="1.35802780264439E-2"/>
          <c:w val="0.86397393822013102"/>
          <c:h val="0.22106356565024601"/>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56834263736677E-2"/>
          <c:y val="2.3148148148148098E-2"/>
          <c:w val="0.948062063328038"/>
          <c:h val="0.92587319052946193"/>
        </c:manualLayout>
      </c:layout>
      <c:barChart>
        <c:barDir val="col"/>
        <c:grouping val="clustered"/>
        <c:varyColors val="0"/>
        <c:ser>
          <c:idx val="0"/>
          <c:order val="0"/>
          <c:tx>
            <c:strRef>
              <c:f>'RT &lt;50miles MTC-SCAG'!$Q$28:$Q$34</c:f>
              <c:strCache>
                <c:ptCount val="7"/>
                <c:pt idx="0">
                  <c:v>False Phase 1: Cost of Driving Alone Round-Trip @ 23¢/mile, the Authority's metric for fully-loaded auto costs</c:v>
                </c:pt>
              </c:strCache>
            </c:strRef>
          </c:tx>
          <c:spPr>
            <a:pattFill prst="pct5">
              <a:fgClr>
                <a:schemeClr val="accent1">
                  <a:lumMod val="60000"/>
                  <a:lumOff val="40000"/>
                </a:schemeClr>
              </a:fgClr>
              <a:bgClr>
                <a:srgbClr val="660066"/>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&lt;50miles MTC-SCAG'!$P$35:$P$39</c:f>
              <c:strCache>
                <c:ptCount val="5"/>
                <c:pt idx="0">
                  <c:v>San Jose-Gilroy/                 30miles</c:v>
                </c:pt>
                <c:pt idx="1">
                  <c:v>Millbrae-San Jose/                    33miles</c:v>
                </c:pt>
                <c:pt idx="2">
                  <c:v>Burbank (BUR)-Anaheim/  33miles</c:v>
                </c:pt>
                <c:pt idx="3">
                  <c:v>San Francisco-San Jose/           48miles</c:v>
                </c:pt>
                <c:pt idx="4">
                  <c:v>Burbank-Palmdale/   51miles </c:v>
                </c:pt>
              </c:strCache>
            </c:strRef>
          </c:cat>
          <c:val>
            <c:numRef>
              <c:f>'RT &lt;50miles MTC-SCAG'!$Q$35:$Q$39</c:f>
              <c:numCache>
                <c:formatCode>"$"#,##0</c:formatCode>
                <c:ptCount val="5"/>
                <c:pt idx="0">
                  <c:v>14.72</c:v>
                </c:pt>
                <c:pt idx="1">
                  <c:v>16.560000000000002</c:v>
                </c:pt>
                <c:pt idx="2">
                  <c:v>28.52</c:v>
                </c:pt>
                <c:pt idx="3">
                  <c:v>22.080000000000002</c:v>
                </c:pt>
                <c:pt idx="4">
                  <c:v>23</c:v>
                </c:pt>
              </c:numCache>
            </c:numRef>
          </c:val>
          <c:extLst>
            <c:ext xmlns:c16="http://schemas.microsoft.com/office/drawing/2014/chart" uri="{C3380CC4-5D6E-409C-BE32-E72D297353CC}">
              <c16:uniqueId val="{00000000-B446-4E46-A1A7-C86958944B87}"/>
            </c:ext>
          </c:extLst>
        </c:ser>
        <c:ser>
          <c:idx val="1"/>
          <c:order val="1"/>
          <c:tx>
            <c:strRef>
              <c:f>'RT &lt;50miles MTC-SCAG'!$R$28:$R$34</c:f>
              <c:strCache>
                <c:ptCount val="7"/>
                <c:pt idx="0">
                  <c:v>False Phase 1:  Per person cost of intra-regional round-trip fares using HSR; bassed on Figure 2.2 fares</c:v>
                </c:pt>
              </c:strCache>
            </c:strRef>
          </c:tx>
          <c:spPr>
            <a:pattFill prst="dkUpDiag">
              <a:fgClr>
                <a:schemeClr val="bg1"/>
              </a:fgClr>
              <a:bgClr>
                <a:srgbClr val="FF0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&lt;50miles MTC-SCAG'!$P$35:$P$39</c:f>
              <c:strCache>
                <c:ptCount val="5"/>
                <c:pt idx="0">
                  <c:v>San Jose-Gilroy/                 30miles</c:v>
                </c:pt>
                <c:pt idx="1">
                  <c:v>Millbrae-San Jose/                    33miles</c:v>
                </c:pt>
                <c:pt idx="2">
                  <c:v>Burbank (BUR)-Anaheim/  33miles</c:v>
                </c:pt>
                <c:pt idx="3">
                  <c:v>San Francisco-San Jose/           48miles</c:v>
                </c:pt>
                <c:pt idx="4">
                  <c:v>Burbank-Palmdale/   51miles </c:v>
                </c:pt>
              </c:strCache>
            </c:strRef>
          </c:cat>
          <c:val>
            <c:numRef>
              <c:f>'RT &lt;50miles MTC-SCAG'!$R$35:$R$39</c:f>
              <c:numCache>
                <c:formatCode>"$"#,##0</c:formatCode>
                <c:ptCount val="5"/>
                <c:pt idx="0">
                  <c:v>40</c:v>
                </c:pt>
                <c:pt idx="1">
                  <c:v>42</c:v>
                </c:pt>
                <c:pt idx="2">
                  <c:v>68</c:v>
                </c:pt>
                <c:pt idx="3">
                  <c:v>48</c:v>
                </c:pt>
                <c:pt idx="4">
                  <c:v>68</c:v>
                </c:pt>
              </c:numCache>
            </c:numRef>
          </c:val>
          <c:extLst>
            <c:ext xmlns:c16="http://schemas.microsoft.com/office/drawing/2014/chart" uri="{C3380CC4-5D6E-409C-BE32-E72D297353CC}">
              <c16:uniqueId val="{00000001-B446-4E46-A1A7-C86958944B87}"/>
            </c:ext>
          </c:extLst>
        </c:ser>
        <c:ser>
          <c:idx val="2"/>
          <c:order val="2"/>
          <c:tx>
            <c:strRef>
              <c:f>'RT &lt;50miles MTC-SCAG'!$S$28:$S$34</c:f>
              <c:strCache>
                <c:ptCount val="7"/>
                <c:pt idx="0">
                  <c:v>False Phase 1: Per person fares for intra-regional round-trip by Caltrain, Metrolink or Amtrak (2017 $$s)</c:v>
                </c:pt>
              </c:strCache>
            </c:strRef>
          </c:tx>
          <c:spPr>
            <a:pattFill prst="pct40">
              <a:fgClr>
                <a:schemeClr val="bg1"/>
              </a:fgClr>
              <a:bgClr>
                <a:srgbClr val="660066"/>
              </a:bgClr>
            </a:pattFill>
            <a:ln>
              <a:noFill/>
            </a:ln>
            <a:effectLst/>
          </c:spPr>
          <c:invertIfNegative val="0"/>
          <c:dLbls>
            <c:dLbl>
              <c:idx val="0"/>
              <c:layout>
                <c:manualLayout>
                  <c:x val="-2.3496610964476501E-17"/>
                  <c:y val="4.82588658975766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BF-1F43-B850-E2D58C485F41}"/>
                </c:ext>
              </c:extLst>
            </c:dLbl>
            <c:dLbl>
              <c:idx val="1"/>
              <c:layout>
                <c:manualLayout>
                  <c:x val="-4.6993221928953697E-17"/>
                  <c:y val="4.82588658975766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BF-1F43-B850-E2D58C485F41}"/>
                </c:ext>
              </c:extLst>
            </c:dLbl>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660066"/>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&lt;50miles MTC-SCAG'!$P$35:$P$39</c:f>
              <c:strCache>
                <c:ptCount val="5"/>
                <c:pt idx="0">
                  <c:v>San Jose-Gilroy/                 30miles</c:v>
                </c:pt>
                <c:pt idx="1">
                  <c:v>Millbrae-San Jose/                    33miles</c:v>
                </c:pt>
                <c:pt idx="2">
                  <c:v>Burbank (BUR)-Anaheim/  33miles</c:v>
                </c:pt>
                <c:pt idx="3">
                  <c:v>San Francisco-San Jose/           48miles</c:v>
                </c:pt>
                <c:pt idx="4">
                  <c:v>Burbank-Palmdale/   51miles </c:v>
                </c:pt>
              </c:strCache>
            </c:strRef>
          </c:cat>
          <c:val>
            <c:numRef>
              <c:f>'RT &lt;50miles MTC-SCAG'!$S$35:$S$39</c:f>
              <c:numCache>
                <c:formatCode>"$"#,##0</c:formatCode>
                <c:ptCount val="5"/>
                <c:pt idx="0">
                  <c:v>15.5</c:v>
                </c:pt>
                <c:pt idx="1">
                  <c:v>15.5</c:v>
                </c:pt>
                <c:pt idx="2">
                  <c:v>21.5</c:v>
                </c:pt>
                <c:pt idx="3">
                  <c:v>19.5</c:v>
                </c:pt>
                <c:pt idx="4">
                  <c:v>25</c:v>
                </c:pt>
              </c:numCache>
            </c:numRef>
          </c:val>
          <c:extLst>
            <c:ext xmlns:c16="http://schemas.microsoft.com/office/drawing/2014/chart" uri="{C3380CC4-5D6E-409C-BE32-E72D297353CC}">
              <c16:uniqueId val="{00000002-B446-4E46-A1A7-C86958944B87}"/>
            </c:ext>
          </c:extLst>
        </c:ser>
        <c:ser>
          <c:idx val="3"/>
          <c:order val="3"/>
          <c:tx>
            <c:strRef>
              <c:f>'RT &lt;50miles MTC-SCAG'!$T$28:$T$34</c:f>
              <c:strCache>
                <c:ptCount val="7"/>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&lt;50miles MTC-SCAG'!$P$35:$P$39</c:f>
              <c:strCache>
                <c:ptCount val="5"/>
                <c:pt idx="0">
                  <c:v>San Jose-Gilroy/                 30miles</c:v>
                </c:pt>
                <c:pt idx="1">
                  <c:v>Millbrae-San Jose/                    33miles</c:v>
                </c:pt>
                <c:pt idx="2">
                  <c:v>Burbank (BUR)-Anaheim/  33miles</c:v>
                </c:pt>
                <c:pt idx="3">
                  <c:v>San Francisco-San Jose/           48miles</c:v>
                </c:pt>
                <c:pt idx="4">
                  <c:v>Burbank-Palmdale/   51miles </c:v>
                </c:pt>
              </c:strCache>
            </c:strRef>
          </c:cat>
          <c:val>
            <c:numRef>
              <c:f>'RT &lt;50miles MTC-SCAG'!$T$35:$T$39</c:f>
              <c:numCache>
                <c:formatCode>0</c:formatCode>
                <c:ptCount val="5"/>
                <c:pt idx="0">
                  <c:v>102.9</c:v>
                </c:pt>
                <c:pt idx="1">
                  <c:v>91.7</c:v>
                </c:pt>
                <c:pt idx="2">
                  <c:v>153.70000000000002</c:v>
                </c:pt>
                <c:pt idx="3">
                  <c:v>81.400000000000006</c:v>
                </c:pt>
                <c:pt idx="4">
                  <c:v>85.9</c:v>
                </c:pt>
              </c:numCache>
            </c:numRef>
          </c:val>
          <c:extLst>
            <c:ext xmlns:c16="http://schemas.microsoft.com/office/drawing/2014/chart" uri="{C3380CC4-5D6E-409C-BE32-E72D297353CC}">
              <c16:uniqueId val="{00000003-B446-4E46-A1A7-C86958944B87}"/>
            </c:ext>
          </c:extLst>
        </c:ser>
        <c:ser>
          <c:idx val="4"/>
          <c:order val="4"/>
          <c:tx>
            <c:strRef>
              <c:f>'RT &lt;50miles MTC-SCAG'!$T$15</c:f>
              <c:strCache>
                <c:ptCount val="1"/>
                <c:pt idx="0">
                  <c:v>False Phase 1: Total Travel Time gained (TTT minutes) round-trip using Auto vs. HSR  (negative # is TTT minutes more of Auto travel than HSR travel)</c:v>
                </c:pt>
              </c:strCache>
            </c:strRef>
          </c:tx>
          <c:spPr>
            <a:solidFill>
              <a:schemeClr val="accent5"/>
            </a:solidFill>
            <a:ln>
              <a:noFill/>
            </a:ln>
            <a:effectLst/>
          </c:spPr>
          <c:invertIfNegative val="0"/>
          <c:cat>
            <c:strRef>
              <c:f>'RT &lt;50miles MTC-SCAG'!$P$35:$P$39</c:f>
              <c:strCache>
                <c:ptCount val="5"/>
                <c:pt idx="0">
                  <c:v>San Jose-Gilroy/                 30miles</c:v>
                </c:pt>
                <c:pt idx="1">
                  <c:v>Millbrae-San Jose/                    33miles</c:v>
                </c:pt>
                <c:pt idx="2">
                  <c:v>Burbank (BUR)-Anaheim/  33miles</c:v>
                </c:pt>
                <c:pt idx="3">
                  <c:v>San Francisco-San Jose/           48miles</c:v>
                </c:pt>
                <c:pt idx="4">
                  <c:v>Burbank-Palmdale/   51miles </c:v>
                </c:pt>
              </c:strCache>
            </c:strRef>
          </c:cat>
          <c:val>
            <c:numRef>
              <c:f>'RT &lt;50miles MTC-SCAG'!$T$16</c:f>
              <c:numCache>
                <c:formatCode>General</c:formatCode>
                <c:ptCount val="1"/>
              </c:numCache>
            </c:numRef>
          </c:val>
          <c:extLst>
            <c:ext xmlns:c16="http://schemas.microsoft.com/office/drawing/2014/chart" uri="{C3380CC4-5D6E-409C-BE32-E72D297353CC}">
              <c16:uniqueId val="{00000000-43BF-1F43-B850-E2D58C485F41}"/>
            </c:ext>
          </c:extLst>
        </c:ser>
        <c:dLbls>
          <c:showLegendKey val="0"/>
          <c:showVal val="0"/>
          <c:showCatName val="0"/>
          <c:showSerName val="0"/>
          <c:showPercent val="0"/>
          <c:showBubbleSize val="0"/>
        </c:dLbls>
        <c:gapWidth val="49"/>
        <c:axId val="-2139521896"/>
        <c:axId val="-2139518344"/>
      </c:barChart>
      <c:catAx>
        <c:axId val="-213952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39518344"/>
        <c:crosses val="autoZero"/>
        <c:auto val="1"/>
        <c:lblAlgn val="ctr"/>
        <c:lblOffset val="100"/>
        <c:noMultiLvlLbl val="0"/>
      </c:catAx>
      <c:valAx>
        <c:axId val="-2139518344"/>
        <c:scaling>
          <c:orientation val="minMax"/>
          <c:max val="24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2139521896"/>
        <c:crosses val="autoZero"/>
        <c:crossBetween val="between"/>
      </c:valAx>
      <c:spPr>
        <a:noFill/>
        <a:ln>
          <a:noFill/>
        </a:ln>
        <a:effectLst/>
      </c:spPr>
    </c:plotArea>
    <c:legend>
      <c:legendPos val="b"/>
      <c:layout>
        <c:manualLayout>
          <c:xMode val="edge"/>
          <c:yMode val="edge"/>
          <c:x val="0"/>
          <c:y val="4.8497712862907966E-2"/>
          <c:w val="0.98325436337114203"/>
          <c:h val="0.25411845365352737"/>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384751046574802E-2"/>
          <c:y val="4.0543650594412901E-2"/>
          <c:w val="0.96061524895342498"/>
          <c:h val="0.88588805250881597"/>
        </c:manualLayout>
      </c:layout>
      <c:barChart>
        <c:barDir val="col"/>
        <c:grouping val="clustered"/>
        <c:varyColors val="0"/>
        <c:ser>
          <c:idx val="0"/>
          <c:order val="0"/>
          <c:tx>
            <c:strRef>
              <c:f>'RT Travel Adjacent Regions'!$AR$6</c:f>
              <c:strCache>
                <c:ptCount val="1"/>
                <c:pt idx="0">
                  <c:v>False Phase 1: Cost of Driving Alone Round-Trip @ 23¢/mile, the Authority's metric for fully-loaded auto costs</c:v>
                </c:pt>
              </c:strCache>
            </c:strRef>
          </c:tx>
          <c:spPr>
            <a:pattFill prst="pct5">
              <a:fgClr>
                <a:schemeClr val="tx2">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Regions'!$AQ$7:$AQ$11</c:f>
              <c:strCache>
                <c:ptCount val="5"/>
                <c:pt idx="0">
                  <c:v>Los Angeles-Bakersfield/                                     160miles</c:v>
                </c:pt>
                <c:pt idx="1">
                  <c:v>OC Gateway-Bakersfield/                                           174miles</c:v>
                </c:pt>
                <c:pt idx="2">
                  <c:v>Los Angeles-KT Hanford/                             223miles</c:v>
                </c:pt>
                <c:pt idx="3">
                  <c:v>OC Gateway-KT Hanford/                                 237miles</c:v>
                </c:pt>
                <c:pt idx="4">
                  <c:v>Anaheim-KT  Hanford/                                           250miles</c:v>
                </c:pt>
              </c:strCache>
            </c:strRef>
          </c:cat>
          <c:val>
            <c:numRef>
              <c:f>'RT Travel Adjacent Regions'!$AR$7:$AR$11</c:f>
              <c:numCache>
                <c:formatCode>"$"#,##0</c:formatCode>
                <c:ptCount val="5"/>
                <c:pt idx="0">
                  <c:v>51.52</c:v>
                </c:pt>
                <c:pt idx="1">
                  <c:v>58.88</c:v>
                </c:pt>
                <c:pt idx="2">
                  <c:v>91.08</c:v>
                </c:pt>
                <c:pt idx="3">
                  <c:v>97.06</c:v>
                </c:pt>
                <c:pt idx="4">
                  <c:v>110.4</c:v>
                </c:pt>
              </c:numCache>
            </c:numRef>
          </c:val>
          <c:extLst>
            <c:ext xmlns:c16="http://schemas.microsoft.com/office/drawing/2014/chart" uri="{C3380CC4-5D6E-409C-BE32-E72D297353CC}">
              <c16:uniqueId val="{00000000-F650-314B-BC74-DC0A9AB383DE}"/>
            </c:ext>
          </c:extLst>
        </c:ser>
        <c:ser>
          <c:idx val="1"/>
          <c:order val="1"/>
          <c:tx>
            <c:strRef>
              <c:f>'RT Travel Adjacent Regions'!$AS$6</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Regions'!$AQ$7:$AQ$11</c:f>
              <c:strCache>
                <c:ptCount val="5"/>
                <c:pt idx="0">
                  <c:v>Los Angeles-Bakersfield/                                     160miles</c:v>
                </c:pt>
                <c:pt idx="1">
                  <c:v>OC Gateway-Bakersfield/                                           174miles</c:v>
                </c:pt>
                <c:pt idx="2">
                  <c:v>Los Angeles-KT Hanford/                             223miles</c:v>
                </c:pt>
                <c:pt idx="3">
                  <c:v>OC Gateway-KT Hanford/                                 237miles</c:v>
                </c:pt>
                <c:pt idx="4">
                  <c:v>Anaheim-KT  Hanford/                                           250miles</c:v>
                </c:pt>
              </c:strCache>
            </c:strRef>
          </c:cat>
          <c:val>
            <c:numRef>
              <c:f>'RT Travel Adjacent Regions'!$AS$7:$AS$11</c:f>
              <c:numCache>
                <c:formatCode>"$"#,##0</c:formatCode>
                <c:ptCount val="5"/>
                <c:pt idx="0">
                  <c:v>141</c:v>
                </c:pt>
                <c:pt idx="1">
                  <c:v>145</c:v>
                </c:pt>
                <c:pt idx="2">
                  <c:v>179</c:v>
                </c:pt>
                <c:pt idx="3">
                  <c:v>183</c:v>
                </c:pt>
                <c:pt idx="4">
                  <c:v>187</c:v>
                </c:pt>
              </c:numCache>
            </c:numRef>
          </c:val>
          <c:extLst>
            <c:ext xmlns:c16="http://schemas.microsoft.com/office/drawing/2014/chart" uri="{C3380CC4-5D6E-409C-BE32-E72D297353CC}">
              <c16:uniqueId val="{00000001-F650-314B-BC74-DC0A9AB383DE}"/>
            </c:ext>
          </c:extLst>
        </c:ser>
        <c:ser>
          <c:idx val="2"/>
          <c:order val="2"/>
          <c:tx>
            <c:strRef>
              <c:f>'RT Travel Adjacent Regions'!$AT$6</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Regions'!$AQ$7:$AQ$11</c:f>
              <c:strCache>
                <c:ptCount val="5"/>
                <c:pt idx="0">
                  <c:v>Los Angeles-Bakersfield/                                     160miles</c:v>
                </c:pt>
                <c:pt idx="1">
                  <c:v>OC Gateway-Bakersfield/                                           174miles</c:v>
                </c:pt>
                <c:pt idx="2">
                  <c:v>Los Angeles-KT Hanford/                             223miles</c:v>
                </c:pt>
                <c:pt idx="3">
                  <c:v>OC Gateway-KT Hanford/                                 237miles</c:v>
                </c:pt>
                <c:pt idx="4">
                  <c:v>Anaheim-KT  Hanford/                                           250miles</c:v>
                </c:pt>
              </c:strCache>
            </c:strRef>
          </c:cat>
          <c:val>
            <c:numRef>
              <c:f>'RT Travel Adjacent Regions'!$AT$7:$AT$11</c:f>
              <c:numCache>
                <c:formatCode>"$"#,##0</c:formatCode>
                <c:ptCount val="5"/>
                <c:pt idx="0">
                  <c:v>929</c:v>
                </c:pt>
                <c:pt idx="1">
                  <c:v>944</c:v>
                </c:pt>
                <c:pt idx="2">
                  <c:v>411</c:v>
                </c:pt>
                <c:pt idx="3">
                  <c:v>426</c:v>
                </c:pt>
                <c:pt idx="4">
                  <c:v>426</c:v>
                </c:pt>
              </c:numCache>
            </c:numRef>
          </c:val>
          <c:extLst>
            <c:ext xmlns:c16="http://schemas.microsoft.com/office/drawing/2014/chart" uri="{C3380CC4-5D6E-409C-BE32-E72D297353CC}">
              <c16:uniqueId val="{00000002-F650-314B-BC74-DC0A9AB383DE}"/>
            </c:ext>
          </c:extLst>
        </c:ser>
        <c:ser>
          <c:idx val="3"/>
          <c:order val="3"/>
          <c:tx>
            <c:strRef>
              <c:f>'RT Travel Adjacent Regions'!$AU$6</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Regions'!$AQ$7:$AQ$11</c:f>
              <c:strCache>
                <c:ptCount val="5"/>
                <c:pt idx="0">
                  <c:v>Los Angeles-Bakersfield/                                     160miles</c:v>
                </c:pt>
                <c:pt idx="1">
                  <c:v>OC Gateway-Bakersfield/                                           174miles</c:v>
                </c:pt>
                <c:pt idx="2">
                  <c:v>Los Angeles-KT Hanford/                             223miles</c:v>
                </c:pt>
                <c:pt idx="3">
                  <c:v>OC Gateway-KT Hanford/                                 237miles</c:v>
                </c:pt>
                <c:pt idx="4">
                  <c:v>Anaheim-KT  Hanford/                                           250miles</c:v>
                </c:pt>
              </c:strCache>
            </c:strRef>
          </c:cat>
          <c:val>
            <c:numRef>
              <c:f>'RT Travel Adjacent Regions'!$AU$7:$AU$11</c:f>
              <c:numCache>
                <c:formatCode>#,##0</c:formatCode>
                <c:ptCount val="5"/>
                <c:pt idx="0">
                  <c:v>37.900000000000006</c:v>
                </c:pt>
                <c:pt idx="1">
                  <c:v>91.5</c:v>
                </c:pt>
                <c:pt idx="2">
                  <c:v>-48.399999999999977</c:v>
                </c:pt>
                <c:pt idx="3">
                  <c:v>-9.2999999999999545</c:v>
                </c:pt>
                <c:pt idx="4">
                  <c:v>-10.599999999999966</c:v>
                </c:pt>
              </c:numCache>
            </c:numRef>
          </c:val>
          <c:extLst>
            <c:ext xmlns:c16="http://schemas.microsoft.com/office/drawing/2014/chart" uri="{C3380CC4-5D6E-409C-BE32-E72D297353CC}">
              <c16:uniqueId val="{00000003-F650-314B-BC74-DC0A9AB383DE}"/>
            </c:ext>
          </c:extLst>
        </c:ser>
        <c:ser>
          <c:idx val="4"/>
          <c:order val="4"/>
          <c:tx>
            <c:strRef>
              <c:f>'RT Travel Adjacent Regions'!$AV$6</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Regions'!$AQ$7:$AQ$11</c:f>
              <c:strCache>
                <c:ptCount val="5"/>
                <c:pt idx="0">
                  <c:v>Los Angeles-Bakersfield/                                     160miles</c:v>
                </c:pt>
                <c:pt idx="1">
                  <c:v>OC Gateway-Bakersfield/                                           174miles</c:v>
                </c:pt>
                <c:pt idx="2">
                  <c:v>Los Angeles-KT Hanford/                             223miles</c:v>
                </c:pt>
                <c:pt idx="3">
                  <c:v>OC Gateway-KT Hanford/                                 237miles</c:v>
                </c:pt>
                <c:pt idx="4">
                  <c:v>Anaheim-KT  Hanford/                                           250miles</c:v>
                </c:pt>
              </c:strCache>
            </c:strRef>
          </c:cat>
          <c:val>
            <c:numRef>
              <c:f>'RT Travel Adjacent Regions'!$AV$7:$AV$11</c:f>
              <c:numCache>
                <c:formatCode>#,##0</c:formatCode>
                <c:ptCount val="5"/>
                <c:pt idx="0">
                  <c:v>-428</c:v>
                </c:pt>
                <c:pt idx="1">
                  <c:v>-310</c:v>
                </c:pt>
                <c:pt idx="2">
                  <c:v>4</c:v>
                </c:pt>
                <c:pt idx="3">
                  <c:v>96</c:v>
                </c:pt>
                <c:pt idx="4">
                  <c:v>120</c:v>
                </c:pt>
              </c:numCache>
            </c:numRef>
          </c:val>
          <c:extLst>
            <c:ext xmlns:c16="http://schemas.microsoft.com/office/drawing/2014/chart" uri="{C3380CC4-5D6E-409C-BE32-E72D297353CC}">
              <c16:uniqueId val="{00000004-F650-314B-BC74-DC0A9AB383DE}"/>
            </c:ext>
          </c:extLst>
        </c:ser>
        <c:dLbls>
          <c:showLegendKey val="0"/>
          <c:showVal val="0"/>
          <c:showCatName val="0"/>
          <c:showSerName val="0"/>
          <c:showPercent val="0"/>
          <c:showBubbleSize val="0"/>
        </c:dLbls>
        <c:gapWidth val="50"/>
        <c:axId val="-2127224312"/>
        <c:axId val="-2127227944"/>
      </c:barChart>
      <c:catAx>
        <c:axId val="-21272243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27227944"/>
        <c:crosses val="autoZero"/>
        <c:auto val="1"/>
        <c:lblAlgn val="ctr"/>
        <c:lblOffset val="100"/>
        <c:noMultiLvlLbl val="0"/>
      </c:catAx>
      <c:valAx>
        <c:axId val="-2127227944"/>
        <c:scaling>
          <c:orientation val="minMax"/>
          <c:max val="1100"/>
          <c:min val="-46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27224312"/>
        <c:crosses val="autoZero"/>
        <c:crossBetween val="between"/>
      </c:valAx>
      <c:spPr>
        <a:noFill/>
        <a:ln>
          <a:noFill/>
        </a:ln>
        <a:effectLst/>
      </c:spPr>
    </c:plotArea>
    <c:legend>
      <c:legendPos val="b"/>
      <c:layout>
        <c:manualLayout>
          <c:xMode val="edge"/>
          <c:yMode val="edge"/>
          <c:x val="0.36578051330762074"/>
          <c:y val="2.0412656582876471E-3"/>
          <c:w val="0.63112053202098395"/>
          <c:h val="0.36768911929729797"/>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303260228877743E-2"/>
          <c:y val="1.1258715506806301E-2"/>
          <c:w val="0.96069673977112224"/>
          <c:h val="0.96988482584454583"/>
        </c:manualLayout>
      </c:layout>
      <c:barChart>
        <c:barDir val="col"/>
        <c:grouping val="clustered"/>
        <c:varyColors val="0"/>
        <c:ser>
          <c:idx val="0"/>
          <c:order val="0"/>
          <c:tx>
            <c:strRef>
              <c:f>'RT Travel Adjacent Regions'!$AR$17</c:f>
              <c:strCache>
                <c:ptCount val="1"/>
                <c:pt idx="0">
                  <c:v>False Phase 1: Cost of Driving Alone Round-Trip @ 23¢/mile, the Authority's metric for fully-loaded auto costs</c:v>
                </c:pt>
              </c:strCache>
            </c:strRef>
          </c:tx>
          <c:spPr>
            <a:pattFill prst="pct20">
              <a:fgClr>
                <a:schemeClr val="accent1">
                  <a:lumMod val="60000"/>
                  <a:lumOff val="40000"/>
                </a:schemeClr>
              </a:fgClr>
              <a:bgClr>
                <a:srgbClr val="00009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Regions'!$AQ$18:$AQ$22</c:f>
              <c:strCache>
                <c:ptCount val="5"/>
                <c:pt idx="0">
                  <c:v>Los Angeles-Fresno/                                                267miles</c:v>
                </c:pt>
                <c:pt idx="1">
                  <c:v>Palmdale-Merced/                                               269miles</c:v>
                </c:pt>
                <c:pt idx="2">
                  <c:v>OC Gateway-Fresno/                                            281miles</c:v>
                </c:pt>
                <c:pt idx="3">
                  <c:v>Burbank-Merced/                                              320miles</c:v>
                </c:pt>
                <c:pt idx="4">
                  <c:v>Anaheim-Merced/                                                      353miles</c:v>
                </c:pt>
              </c:strCache>
            </c:strRef>
          </c:cat>
          <c:val>
            <c:numRef>
              <c:f>'RT Travel Adjacent Regions'!$AR$18:$AR$22</c:f>
              <c:numCache>
                <c:formatCode>"$"#,##0</c:formatCode>
                <c:ptCount val="5"/>
                <c:pt idx="0">
                  <c:v>100.28</c:v>
                </c:pt>
                <c:pt idx="1">
                  <c:v>119.60000000000001</c:v>
                </c:pt>
                <c:pt idx="2">
                  <c:v>107.64</c:v>
                </c:pt>
                <c:pt idx="3">
                  <c:v>120.06</c:v>
                </c:pt>
                <c:pt idx="4">
                  <c:v>139.38</c:v>
                </c:pt>
              </c:numCache>
            </c:numRef>
          </c:val>
          <c:extLst>
            <c:ext xmlns:c16="http://schemas.microsoft.com/office/drawing/2014/chart" uri="{C3380CC4-5D6E-409C-BE32-E72D297353CC}">
              <c16:uniqueId val="{00000000-2734-824A-8EAD-2F864C42C018}"/>
            </c:ext>
          </c:extLst>
        </c:ser>
        <c:ser>
          <c:idx val="1"/>
          <c:order val="1"/>
          <c:tx>
            <c:strRef>
              <c:f>'RT Travel Adjacent Regions'!$AS$17</c:f>
              <c:strCache>
                <c:ptCount val="1"/>
                <c:pt idx="0">
                  <c:v>False Phase 1:  Per person cost of inter-regional round-trip using HSR; based on Table 2.2 fares</c:v>
                </c:pt>
              </c:strCache>
            </c:strRef>
          </c:tx>
          <c:spPr>
            <a:pattFill prst="dkUpDiag">
              <a:fgClr>
                <a:srgbClr val="FF000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Regions'!$AQ$18:$AQ$22</c:f>
              <c:strCache>
                <c:ptCount val="5"/>
                <c:pt idx="0">
                  <c:v>Los Angeles-Fresno/                                                267miles</c:v>
                </c:pt>
                <c:pt idx="1">
                  <c:v>Palmdale-Merced/                                               269miles</c:v>
                </c:pt>
                <c:pt idx="2">
                  <c:v>OC Gateway-Fresno/                                            281miles</c:v>
                </c:pt>
                <c:pt idx="3">
                  <c:v>Burbank-Merced/                                              320miles</c:v>
                </c:pt>
                <c:pt idx="4">
                  <c:v>Anaheim-Merced/                                                      353miles</c:v>
                </c:pt>
              </c:strCache>
            </c:strRef>
          </c:cat>
          <c:val>
            <c:numRef>
              <c:f>'RT Travel Adjacent Regions'!$AS$18:$AS$22</c:f>
              <c:numCache>
                <c:formatCode>"$"#,##0</c:formatCode>
                <c:ptCount val="5"/>
                <c:pt idx="0">
                  <c:v>187</c:v>
                </c:pt>
                <c:pt idx="1">
                  <c:v>201</c:v>
                </c:pt>
                <c:pt idx="2">
                  <c:v>193</c:v>
                </c:pt>
                <c:pt idx="3">
                  <c:v>203</c:v>
                </c:pt>
                <c:pt idx="4">
                  <c:v>209</c:v>
                </c:pt>
              </c:numCache>
            </c:numRef>
          </c:val>
          <c:extLst>
            <c:ext xmlns:c16="http://schemas.microsoft.com/office/drawing/2014/chart" uri="{C3380CC4-5D6E-409C-BE32-E72D297353CC}">
              <c16:uniqueId val="{00000001-2734-824A-8EAD-2F864C42C018}"/>
            </c:ext>
          </c:extLst>
        </c:ser>
        <c:ser>
          <c:idx val="2"/>
          <c:order val="2"/>
          <c:tx>
            <c:strRef>
              <c:f>'RT Travel Adjacent Regions'!$AT$17</c:f>
              <c:strCache>
                <c:ptCount val="1"/>
                <c:pt idx="0">
                  <c:v>False Phase 1: Round trip airfares and $23 of Round Trip access+egress costs</c:v>
                </c:pt>
              </c:strCache>
            </c:strRef>
          </c:tx>
          <c:spPr>
            <a:pattFill prst="pct75">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Regions'!$AQ$18:$AQ$22</c:f>
              <c:strCache>
                <c:ptCount val="5"/>
                <c:pt idx="0">
                  <c:v>Los Angeles-Fresno/                                                267miles</c:v>
                </c:pt>
                <c:pt idx="1">
                  <c:v>Palmdale-Merced/                                               269miles</c:v>
                </c:pt>
                <c:pt idx="2">
                  <c:v>OC Gateway-Fresno/                                            281miles</c:v>
                </c:pt>
                <c:pt idx="3">
                  <c:v>Burbank-Merced/                                              320miles</c:v>
                </c:pt>
                <c:pt idx="4">
                  <c:v>Anaheim-Merced/                                                      353miles</c:v>
                </c:pt>
              </c:strCache>
            </c:strRef>
          </c:cat>
          <c:val>
            <c:numRef>
              <c:f>'RT Travel Adjacent Regions'!$AT$18:$AT$22</c:f>
              <c:numCache>
                <c:formatCode>"$"#,##0</c:formatCode>
                <c:ptCount val="5"/>
                <c:pt idx="0">
                  <c:v>400</c:v>
                </c:pt>
                <c:pt idx="1">
                  <c:v>446</c:v>
                </c:pt>
                <c:pt idx="2">
                  <c:v>415</c:v>
                </c:pt>
                <c:pt idx="3">
                  <c:v>430</c:v>
                </c:pt>
                <c:pt idx="4">
                  <c:v>430</c:v>
                </c:pt>
              </c:numCache>
            </c:numRef>
          </c:val>
          <c:extLst>
            <c:ext xmlns:c16="http://schemas.microsoft.com/office/drawing/2014/chart" uri="{C3380CC4-5D6E-409C-BE32-E72D297353CC}">
              <c16:uniqueId val="{00000002-2734-824A-8EAD-2F864C42C018}"/>
            </c:ext>
          </c:extLst>
        </c:ser>
        <c:ser>
          <c:idx val="3"/>
          <c:order val="3"/>
          <c:tx>
            <c:strRef>
              <c:f>'RT Travel Adjacent Regions'!$AU$17</c:f>
              <c:strCache>
                <c:ptCount val="1"/>
                <c:pt idx="0">
                  <c:v>False Phase 1: Total Travel Time gained (TTT minutes) round-trip using Auto vs. HSR  (negative # is TTT minutes more of Auto travel than HSR travel)</c:v>
                </c:pt>
              </c:strCache>
            </c:strRef>
          </c:tx>
          <c:spPr>
            <a:pattFill prst="openDmnd">
              <a:fgClr>
                <a:schemeClr val="bg1"/>
              </a:fgClr>
              <a:bgClr>
                <a:srgbClr val="008000"/>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008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Regions'!$AQ$18:$AQ$22</c:f>
              <c:strCache>
                <c:ptCount val="5"/>
                <c:pt idx="0">
                  <c:v>Los Angeles-Fresno/                                                267miles</c:v>
                </c:pt>
                <c:pt idx="1">
                  <c:v>Palmdale-Merced/                                               269miles</c:v>
                </c:pt>
                <c:pt idx="2">
                  <c:v>OC Gateway-Fresno/                                            281miles</c:v>
                </c:pt>
                <c:pt idx="3">
                  <c:v>Burbank-Merced/                                              320miles</c:v>
                </c:pt>
                <c:pt idx="4">
                  <c:v>Anaheim-Merced/                                                      353miles</c:v>
                </c:pt>
              </c:strCache>
            </c:strRef>
          </c:cat>
          <c:val>
            <c:numRef>
              <c:f>'RT Travel Adjacent Regions'!$AU$18:$AU$22</c:f>
              <c:numCache>
                <c:formatCode>#,##0</c:formatCode>
                <c:ptCount val="5"/>
                <c:pt idx="0">
                  <c:v>-72.199999999999989</c:v>
                </c:pt>
                <c:pt idx="1">
                  <c:v>-117</c:v>
                </c:pt>
                <c:pt idx="2">
                  <c:v>-74.5</c:v>
                </c:pt>
                <c:pt idx="3">
                  <c:v>-104.49999999999994</c:v>
                </c:pt>
                <c:pt idx="4">
                  <c:v>-74.399999999999977</c:v>
                </c:pt>
              </c:numCache>
            </c:numRef>
          </c:val>
          <c:extLst>
            <c:ext xmlns:c16="http://schemas.microsoft.com/office/drawing/2014/chart" uri="{C3380CC4-5D6E-409C-BE32-E72D297353CC}">
              <c16:uniqueId val="{00000003-2734-824A-8EAD-2F864C42C018}"/>
            </c:ext>
          </c:extLst>
        </c:ser>
        <c:ser>
          <c:idx val="4"/>
          <c:order val="4"/>
          <c:tx>
            <c:strRef>
              <c:f>'RT Travel Adjacent Regions'!$AV$17</c:f>
              <c:strCache>
                <c:ptCount val="1"/>
                <c:pt idx="0">
                  <c:v>False Phase 1: Total Travel Time gained (TTT minutes) round-trip using Air vs. HSR (negative #s are TTT minutes saved by HSR travelers over Air travelers)</c:v>
                </c:pt>
              </c:strCache>
            </c:strRef>
          </c:tx>
          <c:spPr>
            <a:pattFill prst="lgCheck">
              <a:fgClr>
                <a:srgbClr val="3366FF"/>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3366FF"/>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'RT Travel Adjacent Regions'!$AQ$18:$AQ$22</c:f>
              <c:strCache>
                <c:ptCount val="5"/>
                <c:pt idx="0">
                  <c:v>Los Angeles-Fresno/                                                267miles</c:v>
                </c:pt>
                <c:pt idx="1">
                  <c:v>Palmdale-Merced/                                               269miles</c:v>
                </c:pt>
                <c:pt idx="2">
                  <c:v>OC Gateway-Fresno/                                            281miles</c:v>
                </c:pt>
                <c:pt idx="3">
                  <c:v>Burbank-Merced/                                              320miles</c:v>
                </c:pt>
                <c:pt idx="4">
                  <c:v>Anaheim-Merced/                                                      353miles</c:v>
                </c:pt>
              </c:strCache>
            </c:strRef>
          </c:cat>
          <c:val>
            <c:numRef>
              <c:f>'RT Travel Adjacent Regions'!$AV$18:$AV$22</c:f>
              <c:numCache>
                <c:formatCode>#,##0</c:formatCode>
                <c:ptCount val="5"/>
                <c:pt idx="0">
                  <c:v>22</c:v>
                </c:pt>
                <c:pt idx="1">
                  <c:v>60</c:v>
                </c:pt>
                <c:pt idx="2">
                  <c:v>114</c:v>
                </c:pt>
                <c:pt idx="3">
                  <c:v>38</c:v>
                </c:pt>
                <c:pt idx="4">
                  <c:v>190</c:v>
                </c:pt>
              </c:numCache>
            </c:numRef>
          </c:val>
          <c:extLst>
            <c:ext xmlns:c16="http://schemas.microsoft.com/office/drawing/2014/chart" uri="{C3380CC4-5D6E-409C-BE32-E72D297353CC}">
              <c16:uniqueId val="{00000004-2734-824A-8EAD-2F864C42C018}"/>
            </c:ext>
          </c:extLst>
        </c:ser>
        <c:dLbls>
          <c:showLegendKey val="0"/>
          <c:showVal val="0"/>
          <c:showCatName val="0"/>
          <c:showSerName val="0"/>
          <c:showPercent val="0"/>
          <c:showBubbleSize val="0"/>
        </c:dLbls>
        <c:gapWidth val="50"/>
        <c:axId val="-2127307816"/>
        <c:axId val="-2127311448"/>
      </c:barChart>
      <c:catAx>
        <c:axId val="-21273078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crossAx val="-2127311448"/>
        <c:crosses val="autoZero"/>
        <c:auto val="1"/>
        <c:lblAlgn val="ctr"/>
        <c:lblOffset val="100"/>
        <c:noMultiLvlLbl val="0"/>
      </c:catAx>
      <c:valAx>
        <c:axId val="-2127311448"/>
        <c:scaling>
          <c:orientation val="minMax"/>
          <c:max val="780"/>
          <c:min val="-140"/>
        </c:scaling>
        <c:delete val="0"/>
        <c:axPos val="l"/>
        <c:majorGridlines>
          <c:spPr>
            <a:ln w="12700" cap="flat" cmpd="sng" algn="ctr">
              <a:solidFill>
                <a:schemeClr val="bg1">
                  <a:lumMod val="65000"/>
                </a:schemeClr>
              </a:solidFill>
              <a:prstDash val="sysDot"/>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rgbClr val="FF0000"/>
                </a:solidFill>
                <a:latin typeface="+mn-lt"/>
                <a:ea typeface="+mn-ea"/>
                <a:cs typeface="+mn-cs"/>
              </a:defRPr>
            </a:pPr>
            <a:endParaRPr lang="en-US"/>
          </a:p>
        </c:txPr>
        <c:crossAx val="-2127307816"/>
        <c:crosses val="autoZero"/>
        <c:crossBetween val="between"/>
      </c:valAx>
      <c:spPr>
        <a:noFill/>
        <a:ln>
          <a:noFill/>
        </a:ln>
        <a:effectLst/>
      </c:spPr>
    </c:plotArea>
    <c:legend>
      <c:legendPos val="b"/>
      <c:layout>
        <c:manualLayout>
          <c:xMode val="edge"/>
          <c:yMode val="edge"/>
          <c:x val="0"/>
          <c:y val="0"/>
          <c:w val="0.88282985364980782"/>
          <c:h val="0.282807822099161"/>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chart" Target="../charts/chart10.xml"/><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s>
</file>

<file path=xl/drawings/drawing1.xml><?xml version="1.0" encoding="utf-8"?>
<xdr:wsDr xmlns:xdr="http://schemas.openxmlformats.org/drawingml/2006/spreadsheetDrawing" xmlns:a="http://schemas.openxmlformats.org/drawingml/2006/main">
  <xdr:twoCellAnchor>
    <xdr:from>
      <xdr:col>20</xdr:col>
      <xdr:colOff>426509</xdr:colOff>
      <xdr:row>31</xdr:row>
      <xdr:rowOff>9525</xdr:rowOff>
    </xdr:from>
    <xdr:to>
      <xdr:col>27</xdr:col>
      <xdr:colOff>210609</xdr:colOff>
      <xdr:row>39</xdr:row>
      <xdr:rowOff>0</xdr:rowOff>
    </xdr:to>
    <xdr:graphicFrame macro="">
      <xdr:nvGraphicFramePr>
        <xdr:cNvPr id="2049" name="Chart 3">
          <a:extLst>
            <a:ext uri="{FF2B5EF4-FFF2-40B4-BE49-F238E27FC236}">
              <a16:creationId xmlns:a16="http://schemas.microsoft.com/office/drawing/2014/main" id="{00000000-0008-0000-00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138340</xdr:colOff>
      <xdr:row>58</xdr:row>
      <xdr:rowOff>371927</xdr:rowOff>
    </xdr:from>
    <xdr:to>
      <xdr:col>27</xdr:col>
      <xdr:colOff>341924</xdr:colOff>
      <xdr:row>81</xdr:row>
      <xdr:rowOff>9768</xdr:rowOff>
    </xdr:to>
    <xdr:graphicFrame macro="">
      <xdr:nvGraphicFramePr>
        <xdr:cNvPr id="2050" name="Chart 4">
          <a:extLst>
            <a:ext uri="{FF2B5EF4-FFF2-40B4-BE49-F238E27FC236}">
              <a16:creationId xmlns:a16="http://schemas.microsoft.com/office/drawing/2014/main" id="{00000000-0008-0000-0000-00000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180975</xdr:colOff>
      <xdr:row>95</xdr:row>
      <xdr:rowOff>47625</xdr:rowOff>
    </xdr:from>
    <xdr:to>
      <xdr:col>26</xdr:col>
      <xdr:colOff>266700</xdr:colOff>
      <xdr:row>107</xdr:row>
      <xdr:rowOff>114300</xdr:rowOff>
    </xdr:to>
    <xdr:graphicFrame macro="">
      <xdr:nvGraphicFramePr>
        <xdr:cNvPr id="2052" name="Chart 7">
          <a:extLst>
            <a:ext uri="{FF2B5EF4-FFF2-40B4-BE49-F238E27FC236}">
              <a16:creationId xmlns:a16="http://schemas.microsoft.com/office/drawing/2014/main" id="{00000000-0008-0000-0000-00000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76200</xdr:colOff>
      <xdr:row>5</xdr:row>
      <xdr:rowOff>67734</xdr:rowOff>
    </xdr:from>
    <xdr:to>
      <xdr:col>27</xdr:col>
      <xdr:colOff>439616</xdr:colOff>
      <xdr:row>18</xdr:row>
      <xdr:rowOff>3799</xdr:rowOff>
    </xdr:to>
    <xdr:graphicFrame macro="">
      <xdr:nvGraphicFramePr>
        <xdr:cNvPr id="2053" name="Chart 8">
          <a:extLst>
            <a:ext uri="{FF2B5EF4-FFF2-40B4-BE49-F238E27FC236}">
              <a16:creationId xmlns:a16="http://schemas.microsoft.com/office/drawing/2014/main" id="{00000000-0008-0000-0000-00000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95250</xdr:colOff>
      <xdr:row>6</xdr:row>
      <xdr:rowOff>19049</xdr:rowOff>
    </xdr:from>
    <xdr:to>
      <xdr:col>27</xdr:col>
      <xdr:colOff>810307</xdr:colOff>
      <xdr:row>9</xdr:row>
      <xdr:rowOff>2547790</xdr:rowOff>
    </xdr:to>
    <xdr:graphicFrame macro="">
      <xdr:nvGraphicFramePr>
        <xdr:cNvPr id="36865" name="Chart 3">
          <a:extLst>
            <a:ext uri="{FF2B5EF4-FFF2-40B4-BE49-F238E27FC236}">
              <a16:creationId xmlns:a16="http://schemas.microsoft.com/office/drawing/2014/main" id="{00000000-0008-0000-0A00-000001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78693</xdr:colOff>
      <xdr:row>14</xdr:row>
      <xdr:rowOff>3584</xdr:rowOff>
    </xdr:from>
    <xdr:to>
      <xdr:col>27</xdr:col>
      <xdr:colOff>272699</xdr:colOff>
      <xdr:row>22</xdr:row>
      <xdr:rowOff>981718</xdr:rowOff>
    </xdr:to>
    <xdr:graphicFrame macro="">
      <xdr:nvGraphicFramePr>
        <xdr:cNvPr id="2" name="Chart 1">
          <a:extLst>
            <a:ext uri="{FF2B5EF4-FFF2-40B4-BE49-F238E27FC236}">
              <a16:creationId xmlns:a16="http://schemas.microsoft.com/office/drawing/2014/main" id="{5E9FF349-423D-0649-B6A0-DB38C897C3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47528</xdr:colOff>
      <xdr:row>26</xdr:row>
      <xdr:rowOff>3584</xdr:rowOff>
    </xdr:from>
    <xdr:to>
      <xdr:col>25</xdr:col>
      <xdr:colOff>794724</xdr:colOff>
      <xdr:row>39</xdr:row>
      <xdr:rowOff>677853</xdr:rowOff>
    </xdr:to>
    <xdr:graphicFrame macro="">
      <xdr:nvGraphicFramePr>
        <xdr:cNvPr id="3" name="Chart 2">
          <a:extLst>
            <a:ext uri="{FF2B5EF4-FFF2-40B4-BE49-F238E27FC236}">
              <a16:creationId xmlns:a16="http://schemas.microsoft.com/office/drawing/2014/main" id="{C13A47EE-7FA9-934F-85F5-03B64AAE85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48</xdr:col>
      <xdr:colOff>51593</xdr:colOff>
      <xdr:row>5</xdr:row>
      <xdr:rowOff>25398</xdr:rowOff>
    </xdr:from>
    <xdr:to>
      <xdr:col>54</xdr:col>
      <xdr:colOff>793749</xdr:colOff>
      <xdr:row>11</xdr:row>
      <xdr:rowOff>931067</xdr:rowOff>
    </xdr:to>
    <xdr:graphicFrame macro="">
      <xdr:nvGraphicFramePr>
        <xdr:cNvPr id="5" name="Chart 4">
          <a:extLst>
            <a:ext uri="{FF2B5EF4-FFF2-40B4-BE49-F238E27FC236}">
              <a16:creationId xmlns:a16="http://schemas.microsoft.com/office/drawing/2014/main" id="{85B92E33-479F-6F4B-B85B-037A671065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138905</xdr:colOff>
      <xdr:row>16</xdr:row>
      <xdr:rowOff>9525</xdr:rowOff>
    </xdr:from>
    <xdr:to>
      <xdr:col>55</xdr:col>
      <xdr:colOff>51593</xdr:colOff>
      <xdr:row>22</xdr:row>
      <xdr:rowOff>936625</xdr:rowOff>
    </xdr:to>
    <xdr:graphicFrame macro="">
      <xdr:nvGraphicFramePr>
        <xdr:cNvPr id="6" name="Chart 5">
          <a:extLst>
            <a:ext uri="{FF2B5EF4-FFF2-40B4-BE49-F238E27FC236}">
              <a16:creationId xmlns:a16="http://schemas.microsoft.com/office/drawing/2014/main" id="{7C9FC0EA-C6CB-7248-9B69-8E7E949556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48</xdr:col>
      <xdr:colOff>75406</xdr:colOff>
      <xdr:row>27</xdr:row>
      <xdr:rowOff>1587</xdr:rowOff>
    </xdr:from>
    <xdr:to>
      <xdr:col>54</xdr:col>
      <xdr:colOff>817563</xdr:colOff>
      <xdr:row>33</xdr:row>
      <xdr:rowOff>1018381</xdr:rowOff>
    </xdr:to>
    <xdr:graphicFrame macro="">
      <xdr:nvGraphicFramePr>
        <xdr:cNvPr id="7" name="Chart 6">
          <a:extLst>
            <a:ext uri="{FF2B5EF4-FFF2-40B4-BE49-F238E27FC236}">
              <a16:creationId xmlns:a16="http://schemas.microsoft.com/office/drawing/2014/main" id="{8F54083C-0480-6C4E-84DB-2A1B6BBEAC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48</xdr:col>
      <xdr:colOff>234156</xdr:colOff>
      <xdr:row>69</xdr:row>
      <xdr:rowOff>17463</xdr:rowOff>
    </xdr:from>
    <xdr:to>
      <xdr:col>55</xdr:col>
      <xdr:colOff>27781</xdr:colOff>
      <xdr:row>75</xdr:row>
      <xdr:rowOff>992188</xdr:rowOff>
    </xdr:to>
    <xdr:graphicFrame macro="">
      <xdr:nvGraphicFramePr>
        <xdr:cNvPr id="8" name="Chart 7">
          <a:extLst>
            <a:ext uri="{FF2B5EF4-FFF2-40B4-BE49-F238E27FC236}">
              <a16:creationId xmlns:a16="http://schemas.microsoft.com/office/drawing/2014/main" id="{A09BC620-222A-4F45-9260-12D62E8012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202406</xdr:colOff>
      <xdr:row>87</xdr:row>
      <xdr:rowOff>192087</xdr:rowOff>
    </xdr:from>
    <xdr:to>
      <xdr:col>54</xdr:col>
      <xdr:colOff>777875</xdr:colOff>
      <xdr:row>94</xdr:row>
      <xdr:rowOff>807243</xdr:rowOff>
    </xdr:to>
    <xdr:graphicFrame macro="">
      <xdr:nvGraphicFramePr>
        <xdr:cNvPr id="9" name="Chart 8">
          <a:extLst>
            <a:ext uri="{FF2B5EF4-FFF2-40B4-BE49-F238E27FC236}">
              <a16:creationId xmlns:a16="http://schemas.microsoft.com/office/drawing/2014/main" id="{EEF20F11-4824-8245-9BEE-1C9BD5730B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353218</xdr:colOff>
      <xdr:row>99</xdr:row>
      <xdr:rowOff>9524</xdr:rowOff>
    </xdr:from>
    <xdr:to>
      <xdr:col>54</xdr:col>
      <xdr:colOff>809624</xdr:colOff>
      <xdr:row>105</xdr:row>
      <xdr:rowOff>1270000</xdr:rowOff>
    </xdr:to>
    <xdr:graphicFrame macro="">
      <xdr:nvGraphicFramePr>
        <xdr:cNvPr id="11" name="Chart 10">
          <a:extLst>
            <a:ext uri="{FF2B5EF4-FFF2-40B4-BE49-F238E27FC236}">
              <a16:creationId xmlns:a16="http://schemas.microsoft.com/office/drawing/2014/main" id="{ED4E6923-E57A-C34A-9ECC-47D4277D2B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48</xdr:col>
      <xdr:colOff>202406</xdr:colOff>
      <xdr:row>121</xdr:row>
      <xdr:rowOff>17462</xdr:rowOff>
    </xdr:from>
    <xdr:to>
      <xdr:col>55</xdr:col>
      <xdr:colOff>115093</xdr:colOff>
      <xdr:row>127</xdr:row>
      <xdr:rowOff>984249</xdr:rowOff>
    </xdr:to>
    <xdr:graphicFrame macro="">
      <xdr:nvGraphicFramePr>
        <xdr:cNvPr id="2" name="Chart 1">
          <a:extLst>
            <a:ext uri="{FF2B5EF4-FFF2-40B4-BE49-F238E27FC236}">
              <a16:creationId xmlns:a16="http://schemas.microsoft.com/office/drawing/2014/main" id="{20C482CC-DDF6-2344-B10A-615CC1B93D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48</xdr:col>
      <xdr:colOff>154780</xdr:colOff>
      <xdr:row>143</xdr:row>
      <xdr:rowOff>184150</xdr:rowOff>
    </xdr:from>
    <xdr:to>
      <xdr:col>54</xdr:col>
      <xdr:colOff>720988</xdr:colOff>
      <xdr:row>150</xdr:row>
      <xdr:rowOff>849313</xdr:rowOff>
    </xdr:to>
    <xdr:graphicFrame macro="">
      <xdr:nvGraphicFramePr>
        <xdr:cNvPr id="10" name="Chart 9">
          <a:extLst>
            <a:ext uri="{FF2B5EF4-FFF2-40B4-BE49-F238E27FC236}">
              <a16:creationId xmlns:a16="http://schemas.microsoft.com/office/drawing/2014/main" id="{5FB6076B-69AD-7D4F-BD2E-E11A64A60E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48</xdr:col>
      <xdr:colOff>250030</xdr:colOff>
      <xdr:row>154</xdr:row>
      <xdr:rowOff>192087</xdr:rowOff>
    </xdr:from>
    <xdr:to>
      <xdr:col>55</xdr:col>
      <xdr:colOff>15874</xdr:colOff>
      <xdr:row>161</xdr:row>
      <xdr:rowOff>840580</xdr:rowOff>
    </xdr:to>
    <xdr:graphicFrame macro="">
      <xdr:nvGraphicFramePr>
        <xdr:cNvPr id="12" name="Chart 11">
          <a:extLst>
            <a:ext uri="{FF2B5EF4-FFF2-40B4-BE49-F238E27FC236}">
              <a16:creationId xmlns:a16="http://schemas.microsoft.com/office/drawing/2014/main" id="{EC0AC91D-DF19-5B4B-8D0D-BC5C3A1105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48</xdr:col>
      <xdr:colOff>242093</xdr:colOff>
      <xdr:row>166</xdr:row>
      <xdr:rowOff>17463</xdr:rowOff>
    </xdr:from>
    <xdr:to>
      <xdr:col>54</xdr:col>
      <xdr:colOff>689238</xdr:colOff>
      <xdr:row>174</xdr:row>
      <xdr:rowOff>476250</xdr:rowOff>
    </xdr:to>
    <xdr:graphicFrame macro="">
      <xdr:nvGraphicFramePr>
        <xdr:cNvPr id="17" name="Chart 16">
          <a:extLst>
            <a:ext uri="{FF2B5EF4-FFF2-40B4-BE49-F238E27FC236}">
              <a16:creationId xmlns:a16="http://schemas.microsoft.com/office/drawing/2014/main" id="{68D6B2E8-3326-084A-81EB-E8600812BB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48</xdr:col>
      <xdr:colOff>250030</xdr:colOff>
      <xdr:row>180</xdr:row>
      <xdr:rowOff>184150</xdr:rowOff>
    </xdr:from>
    <xdr:to>
      <xdr:col>54</xdr:col>
      <xdr:colOff>817562</xdr:colOff>
      <xdr:row>187</xdr:row>
      <xdr:rowOff>826294</xdr:rowOff>
    </xdr:to>
    <xdr:graphicFrame macro="">
      <xdr:nvGraphicFramePr>
        <xdr:cNvPr id="18" name="Chart 17">
          <a:extLst>
            <a:ext uri="{FF2B5EF4-FFF2-40B4-BE49-F238E27FC236}">
              <a16:creationId xmlns:a16="http://schemas.microsoft.com/office/drawing/2014/main" id="{046320CD-806E-2545-A384-3C1D7C8DF6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48</xdr:col>
      <xdr:colOff>424793</xdr:colOff>
      <xdr:row>46</xdr:row>
      <xdr:rowOff>349468</xdr:rowOff>
    </xdr:from>
    <xdr:to>
      <xdr:col>55</xdr:col>
      <xdr:colOff>394547</xdr:colOff>
      <xdr:row>56</xdr:row>
      <xdr:rowOff>113861</xdr:rowOff>
    </xdr:to>
    <xdr:graphicFrame macro="">
      <xdr:nvGraphicFramePr>
        <xdr:cNvPr id="4" name="Chart 3">
          <a:extLst>
            <a:ext uri="{FF2B5EF4-FFF2-40B4-BE49-F238E27FC236}">
              <a16:creationId xmlns:a16="http://schemas.microsoft.com/office/drawing/2014/main" id="{098652E7-4358-2348-8E8E-0A032D7783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48</xdr:col>
      <xdr:colOff>162718</xdr:colOff>
      <xdr:row>131</xdr:row>
      <xdr:rowOff>200025</xdr:rowOff>
    </xdr:from>
    <xdr:to>
      <xdr:col>55</xdr:col>
      <xdr:colOff>75406</xdr:colOff>
      <xdr:row>139</xdr:row>
      <xdr:rowOff>738188</xdr:rowOff>
    </xdr:to>
    <xdr:graphicFrame macro="">
      <xdr:nvGraphicFramePr>
        <xdr:cNvPr id="13" name="Chart 12">
          <a:extLst>
            <a:ext uri="{FF2B5EF4-FFF2-40B4-BE49-F238E27FC236}">
              <a16:creationId xmlns:a16="http://schemas.microsoft.com/office/drawing/2014/main" id="{0336C4AC-4179-984E-B615-0CB49CAEF5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48</xdr:col>
      <xdr:colOff>71049</xdr:colOff>
      <xdr:row>109</xdr:row>
      <xdr:rowOff>199470</xdr:rowOff>
    </xdr:from>
    <xdr:to>
      <xdr:col>54</xdr:col>
      <xdr:colOff>482836</xdr:colOff>
      <xdr:row>116</xdr:row>
      <xdr:rowOff>523097</xdr:rowOff>
    </xdr:to>
    <xdr:graphicFrame macro="">
      <xdr:nvGraphicFramePr>
        <xdr:cNvPr id="15" name="Chart 14">
          <a:extLst>
            <a:ext uri="{FF2B5EF4-FFF2-40B4-BE49-F238E27FC236}">
              <a16:creationId xmlns:a16="http://schemas.microsoft.com/office/drawing/2014/main" id="{A4D1FDEB-D32D-4D4F-97C2-2B193185FE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47</xdr:col>
      <xdr:colOff>76200</xdr:colOff>
      <xdr:row>6</xdr:row>
      <xdr:rowOff>9525</xdr:rowOff>
    </xdr:from>
    <xdr:to>
      <xdr:col>52</xdr:col>
      <xdr:colOff>752475</xdr:colOff>
      <xdr:row>12</xdr:row>
      <xdr:rowOff>819150</xdr:rowOff>
    </xdr:to>
    <xdr:graphicFrame macro="">
      <xdr:nvGraphicFramePr>
        <xdr:cNvPr id="19457" name="Chart 1" hidden="1">
          <a:extLst>
            <a:ext uri="{FF2B5EF4-FFF2-40B4-BE49-F238E27FC236}">
              <a16:creationId xmlns:a16="http://schemas.microsoft.com/office/drawing/2014/main" id="{00000000-0008-0000-0800-000001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104775</xdr:colOff>
      <xdr:row>107</xdr:row>
      <xdr:rowOff>180975</xdr:rowOff>
    </xdr:from>
    <xdr:to>
      <xdr:col>54</xdr:col>
      <xdr:colOff>304800</xdr:colOff>
      <xdr:row>114</xdr:row>
      <xdr:rowOff>1207893</xdr:rowOff>
    </xdr:to>
    <xdr:graphicFrame macro="">
      <xdr:nvGraphicFramePr>
        <xdr:cNvPr id="19459" name="Chart 3">
          <a:extLst>
            <a:ext uri="{FF2B5EF4-FFF2-40B4-BE49-F238E27FC236}">
              <a16:creationId xmlns:a16="http://schemas.microsoft.com/office/drawing/2014/main" id="{00000000-0008-0000-0800-000003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48</xdr:col>
      <xdr:colOff>114300</xdr:colOff>
      <xdr:row>17</xdr:row>
      <xdr:rowOff>38099</xdr:rowOff>
    </xdr:from>
    <xdr:to>
      <xdr:col>54</xdr:col>
      <xdr:colOff>670560</xdr:colOff>
      <xdr:row>23</xdr:row>
      <xdr:rowOff>915878</xdr:rowOff>
    </xdr:to>
    <xdr:graphicFrame macro="">
      <xdr:nvGraphicFramePr>
        <xdr:cNvPr id="19461" name="Chart 2">
          <a:extLst>
            <a:ext uri="{FF2B5EF4-FFF2-40B4-BE49-F238E27FC236}">
              <a16:creationId xmlns:a16="http://schemas.microsoft.com/office/drawing/2014/main" id="{00000000-0008-0000-0800-000005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48</xdr:col>
      <xdr:colOff>104775</xdr:colOff>
      <xdr:row>28</xdr:row>
      <xdr:rowOff>180975</xdr:rowOff>
    </xdr:from>
    <xdr:to>
      <xdr:col>54</xdr:col>
      <xdr:colOff>985520</xdr:colOff>
      <xdr:row>36</xdr:row>
      <xdr:rowOff>1033854</xdr:rowOff>
    </xdr:to>
    <xdr:graphicFrame macro="">
      <xdr:nvGraphicFramePr>
        <xdr:cNvPr id="19462" name="Chart 5">
          <a:extLst>
            <a:ext uri="{FF2B5EF4-FFF2-40B4-BE49-F238E27FC236}">
              <a16:creationId xmlns:a16="http://schemas.microsoft.com/office/drawing/2014/main" id="{00000000-0008-0000-0800-000006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142874</xdr:colOff>
      <xdr:row>41</xdr:row>
      <xdr:rowOff>161924</xdr:rowOff>
    </xdr:from>
    <xdr:to>
      <xdr:col>54</xdr:col>
      <xdr:colOff>838425</xdr:colOff>
      <xdr:row>52</xdr:row>
      <xdr:rowOff>162559</xdr:rowOff>
    </xdr:to>
    <xdr:graphicFrame macro="">
      <xdr:nvGraphicFramePr>
        <xdr:cNvPr id="19463" name="Chart 6">
          <a:extLst>
            <a:ext uri="{FF2B5EF4-FFF2-40B4-BE49-F238E27FC236}">
              <a16:creationId xmlns:a16="http://schemas.microsoft.com/office/drawing/2014/main" id="{00000000-0008-0000-0800-000007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28575</xdr:colOff>
      <xdr:row>63</xdr:row>
      <xdr:rowOff>66675</xdr:rowOff>
    </xdr:from>
    <xdr:to>
      <xdr:col>54</xdr:col>
      <xdr:colOff>371475</xdr:colOff>
      <xdr:row>73</xdr:row>
      <xdr:rowOff>114300</xdr:rowOff>
    </xdr:to>
    <xdr:graphicFrame macro="">
      <xdr:nvGraphicFramePr>
        <xdr:cNvPr id="19464" name="Chart 7">
          <a:extLst>
            <a:ext uri="{FF2B5EF4-FFF2-40B4-BE49-F238E27FC236}">
              <a16:creationId xmlns:a16="http://schemas.microsoft.com/office/drawing/2014/main" id="{00000000-0008-0000-0800-000008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48</xdr:col>
      <xdr:colOff>333374</xdr:colOff>
      <xdr:row>85</xdr:row>
      <xdr:rowOff>9525</xdr:rowOff>
    </xdr:from>
    <xdr:to>
      <xdr:col>54</xdr:col>
      <xdr:colOff>2021840</xdr:colOff>
      <xdr:row>92</xdr:row>
      <xdr:rowOff>1702888</xdr:rowOff>
    </xdr:to>
    <xdr:graphicFrame macro="">
      <xdr:nvGraphicFramePr>
        <xdr:cNvPr id="19465" name="Chart 8">
          <a:extLst>
            <a:ext uri="{FF2B5EF4-FFF2-40B4-BE49-F238E27FC236}">
              <a16:creationId xmlns:a16="http://schemas.microsoft.com/office/drawing/2014/main" id="{00000000-0008-0000-0800-000009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48</xdr:col>
      <xdr:colOff>262467</xdr:colOff>
      <xdr:row>127</xdr:row>
      <xdr:rowOff>8467</xdr:rowOff>
    </xdr:from>
    <xdr:to>
      <xdr:col>54</xdr:col>
      <xdr:colOff>317264</xdr:colOff>
      <xdr:row>134</xdr:row>
      <xdr:rowOff>567266</xdr:rowOff>
    </xdr:to>
    <xdr:graphicFrame macro="">
      <xdr:nvGraphicFramePr>
        <xdr:cNvPr id="5" name="Chart 4">
          <a:extLst>
            <a:ext uri="{FF2B5EF4-FFF2-40B4-BE49-F238E27FC236}">
              <a16:creationId xmlns:a16="http://schemas.microsoft.com/office/drawing/2014/main" id="{A4A4A99C-0E62-6A43-AD73-6754D5B64D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48</xdr:col>
      <xdr:colOff>279399</xdr:colOff>
      <xdr:row>5</xdr:row>
      <xdr:rowOff>177800</xdr:rowOff>
    </xdr:from>
    <xdr:to>
      <xdr:col>54</xdr:col>
      <xdr:colOff>643465</xdr:colOff>
      <xdr:row>12</xdr:row>
      <xdr:rowOff>863600</xdr:rowOff>
    </xdr:to>
    <xdr:graphicFrame macro="">
      <xdr:nvGraphicFramePr>
        <xdr:cNvPr id="2" name="Chart 1">
          <a:extLst>
            <a:ext uri="{FF2B5EF4-FFF2-40B4-BE49-F238E27FC236}">
              <a16:creationId xmlns:a16="http://schemas.microsoft.com/office/drawing/2014/main" id="{5C4E99BD-71E1-8E42-8BE8-6C7BFF490D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48</xdr:col>
      <xdr:colOff>175845</xdr:colOff>
      <xdr:row>118</xdr:row>
      <xdr:rowOff>181707</xdr:rowOff>
    </xdr:from>
    <xdr:to>
      <xdr:col>54</xdr:col>
      <xdr:colOff>882487</xdr:colOff>
      <xdr:row>124</xdr:row>
      <xdr:rowOff>937846</xdr:rowOff>
    </xdr:to>
    <xdr:graphicFrame macro="">
      <xdr:nvGraphicFramePr>
        <xdr:cNvPr id="3" name="Chart 2">
          <a:extLst>
            <a:ext uri="{FF2B5EF4-FFF2-40B4-BE49-F238E27FC236}">
              <a16:creationId xmlns:a16="http://schemas.microsoft.com/office/drawing/2014/main" id="{06EAC7E8-0DA7-8147-904C-08AB49AEDC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48</xdr:col>
      <xdr:colOff>15239</xdr:colOff>
      <xdr:row>97</xdr:row>
      <xdr:rowOff>22013</xdr:rowOff>
    </xdr:from>
    <xdr:to>
      <xdr:col>54</xdr:col>
      <xdr:colOff>743372</xdr:colOff>
      <xdr:row>103</xdr:row>
      <xdr:rowOff>1078653</xdr:rowOff>
    </xdr:to>
    <xdr:graphicFrame macro="">
      <xdr:nvGraphicFramePr>
        <xdr:cNvPr id="4" name="Chart 3">
          <a:extLst>
            <a:ext uri="{FF2B5EF4-FFF2-40B4-BE49-F238E27FC236}">
              <a16:creationId xmlns:a16="http://schemas.microsoft.com/office/drawing/2014/main" id="{BB34333F-B6D3-E845-94C4-57895D6AF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49</xdr:col>
      <xdr:colOff>488530</xdr:colOff>
      <xdr:row>5</xdr:row>
      <xdr:rowOff>188797</xdr:rowOff>
    </xdr:from>
    <xdr:to>
      <xdr:col>55</xdr:col>
      <xdr:colOff>771072</xdr:colOff>
      <xdr:row>12</xdr:row>
      <xdr:rowOff>898885</xdr:rowOff>
    </xdr:to>
    <xdr:graphicFrame macro="">
      <xdr:nvGraphicFramePr>
        <xdr:cNvPr id="2" name="Chart 1">
          <a:extLst>
            <a:ext uri="{FF2B5EF4-FFF2-40B4-BE49-F238E27FC236}">
              <a16:creationId xmlns:a16="http://schemas.microsoft.com/office/drawing/2014/main" id="{98100EB2-05DA-5449-9F55-20B9E7A4C5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49</xdr:col>
      <xdr:colOff>132529</xdr:colOff>
      <xdr:row>17</xdr:row>
      <xdr:rowOff>10686</xdr:rowOff>
    </xdr:from>
    <xdr:to>
      <xdr:col>55</xdr:col>
      <xdr:colOff>565525</xdr:colOff>
      <xdr:row>22</xdr:row>
      <xdr:rowOff>1013677</xdr:rowOff>
    </xdr:to>
    <xdr:graphicFrame macro="">
      <xdr:nvGraphicFramePr>
        <xdr:cNvPr id="3" name="Chart 2">
          <a:extLst>
            <a:ext uri="{FF2B5EF4-FFF2-40B4-BE49-F238E27FC236}">
              <a16:creationId xmlns:a16="http://schemas.microsoft.com/office/drawing/2014/main" id="{04C509FF-3F91-064A-8EC5-7FA8C07F2B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49</xdr:col>
      <xdr:colOff>439190</xdr:colOff>
      <xdr:row>25</xdr:row>
      <xdr:rowOff>430184</xdr:rowOff>
    </xdr:from>
    <xdr:to>
      <xdr:col>56</xdr:col>
      <xdr:colOff>100183</xdr:colOff>
      <xdr:row>32</xdr:row>
      <xdr:rowOff>444500</xdr:rowOff>
    </xdr:to>
    <xdr:graphicFrame macro="">
      <xdr:nvGraphicFramePr>
        <xdr:cNvPr id="4" name="Chart 3">
          <a:extLst>
            <a:ext uri="{FF2B5EF4-FFF2-40B4-BE49-F238E27FC236}">
              <a16:creationId xmlns:a16="http://schemas.microsoft.com/office/drawing/2014/main" id="{6E26FE6D-C150-E048-A999-8F973144C2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49</xdr:col>
      <xdr:colOff>407109</xdr:colOff>
      <xdr:row>36</xdr:row>
      <xdr:rowOff>107153</xdr:rowOff>
    </xdr:from>
    <xdr:to>
      <xdr:col>55</xdr:col>
      <xdr:colOff>793640</xdr:colOff>
      <xdr:row>42</xdr:row>
      <xdr:rowOff>677259</xdr:rowOff>
    </xdr:to>
    <xdr:graphicFrame macro="">
      <xdr:nvGraphicFramePr>
        <xdr:cNvPr id="5" name="Chart 4">
          <a:extLst>
            <a:ext uri="{FF2B5EF4-FFF2-40B4-BE49-F238E27FC236}">
              <a16:creationId xmlns:a16="http://schemas.microsoft.com/office/drawing/2014/main" id="{73773EC8-E53C-EE4E-9A41-7DD5191C8F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49</xdr:col>
      <xdr:colOff>367724</xdr:colOff>
      <xdr:row>46</xdr:row>
      <xdr:rowOff>9072</xdr:rowOff>
    </xdr:from>
    <xdr:to>
      <xdr:col>55</xdr:col>
      <xdr:colOff>823292</xdr:colOff>
      <xdr:row>53</xdr:row>
      <xdr:rowOff>125009</xdr:rowOff>
    </xdr:to>
    <xdr:graphicFrame macro="">
      <xdr:nvGraphicFramePr>
        <xdr:cNvPr id="6" name="Chart 5">
          <a:extLst>
            <a:ext uri="{FF2B5EF4-FFF2-40B4-BE49-F238E27FC236}">
              <a16:creationId xmlns:a16="http://schemas.microsoft.com/office/drawing/2014/main" id="{2663E4E5-184D-864D-97FE-404B06E3DD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49</xdr:col>
      <xdr:colOff>209971</xdr:colOff>
      <xdr:row>66</xdr:row>
      <xdr:rowOff>60467</xdr:rowOff>
    </xdr:from>
    <xdr:to>
      <xdr:col>55</xdr:col>
      <xdr:colOff>655395</xdr:colOff>
      <xdr:row>72</xdr:row>
      <xdr:rowOff>806914</xdr:rowOff>
    </xdr:to>
    <xdr:graphicFrame macro="">
      <xdr:nvGraphicFramePr>
        <xdr:cNvPr id="7" name="Chart 6">
          <a:extLst>
            <a:ext uri="{FF2B5EF4-FFF2-40B4-BE49-F238E27FC236}">
              <a16:creationId xmlns:a16="http://schemas.microsoft.com/office/drawing/2014/main" id="{082C632D-634C-8147-808E-E5B860EEB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0"/>
  <sheetViews>
    <sheetView zoomScaleNormal="100" zoomScalePageLayoutView="160" workbookViewId="0">
      <selection activeCell="AC3" sqref="AC3"/>
    </sheetView>
  </sheetViews>
  <sheetFormatPr baseColWidth="10" defaultColWidth="10.83203125" defaultRowHeight="16"/>
  <cols>
    <col min="1" max="1" width="10.83203125" style="14"/>
    <col min="2" max="2" width="7.1640625" style="143" customWidth="1"/>
    <col min="3" max="3" width="39.6640625" style="14" customWidth="1"/>
    <col min="4" max="4" width="8.83203125" style="199" customWidth="1"/>
    <col min="5" max="5" width="9.1640625" style="14" customWidth="1"/>
    <col min="6" max="6" width="10.83203125" style="14" customWidth="1"/>
    <col min="7" max="7" width="13.33203125" style="14" customWidth="1"/>
    <col min="8" max="8" width="13.83203125" style="587" customWidth="1"/>
    <col min="9" max="9" width="13.1640625" style="587" customWidth="1"/>
    <col min="10" max="10" width="10.83203125" style="591" customWidth="1"/>
    <col min="11" max="12" width="10.83203125" style="14" customWidth="1"/>
    <col min="13" max="13" width="12.5" style="14" customWidth="1"/>
    <col min="14" max="14" width="12.1640625" style="14" customWidth="1"/>
    <col min="15" max="15" width="0.83203125" style="1178" customWidth="1"/>
    <col min="16" max="16" width="55" style="14" customWidth="1"/>
    <col min="17" max="17" width="8.33203125" style="14" customWidth="1"/>
    <col min="18" max="18" width="8.6640625" style="14" customWidth="1"/>
    <col min="19" max="19" width="8.1640625" style="14" customWidth="1"/>
    <col min="20" max="20" width="9" style="14" customWidth="1"/>
    <col min="21" max="27" width="10.83203125" style="14"/>
    <col min="28" max="28" width="11.1640625" style="14" customWidth="1"/>
    <col min="29" max="29" width="10.83203125" style="14"/>
    <col min="30" max="30" width="9.33203125" style="14" customWidth="1"/>
    <col min="31" max="16384" width="10.83203125" style="14"/>
  </cols>
  <sheetData>
    <row r="1" spans="1:29" ht="19">
      <c r="C1" s="1741" t="s">
        <v>623</v>
      </c>
      <c r="D1" s="1741"/>
      <c r="E1" s="1741"/>
      <c r="F1" s="1741"/>
      <c r="G1" s="1741"/>
      <c r="H1" s="1741"/>
      <c r="I1" s="1741"/>
      <c r="J1" s="1741"/>
      <c r="K1" s="1741"/>
      <c r="L1" s="1741"/>
      <c r="M1" s="1741"/>
      <c r="N1" s="1741"/>
      <c r="O1" s="1564"/>
    </row>
    <row r="2" spans="1:29">
      <c r="A2" s="1750" t="s">
        <v>677</v>
      </c>
      <c r="B2" s="1752" t="s">
        <v>676</v>
      </c>
      <c r="C2" s="1677" t="s">
        <v>839</v>
      </c>
      <c r="D2" s="1678"/>
      <c r="E2" s="1678"/>
      <c r="F2" s="1678"/>
      <c r="G2" s="1678"/>
      <c r="H2" s="1678"/>
      <c r="I2" s="1678"/>
      <c r="J2" s="1678"/>
      <c r="K2" s="1678"/>
      <c r="L2" s="1678"/>
      <c r="M2" s="1678"/>
      <c r="N2" s="1678"/>
      <c r="O2" s="1678"/>
      <c r="P2" s="1678"/>
      <c r="Q2" s="1679"/>
      <c r="R2" s="1679"/>
      <c r="S2" s="1679"/>
      <c r="T2" s="1679"/>
      <c r="U2" s="1679"/>
      <c r="V2" s="1679"/>
      <c r="W2" s="1679"/>
      <c r="X2" s="1679"/>
    </row>
    <row r="3" spans="1:29" ht="22" customHeight="1">
      <c r="A3" s="1751"/>
      <c r="B3" s="1704"/>
      <c r="C3" s="887" t="s">
        <v>657</v>
      </c>
      <c r="D3" s="1705" t="s">
        <v>840</v>
      </c>
      <c r="E3" s="1704"/>
      <c r="F3" s="1704"/>
      <c r="G3" s="1704"/>
      <c r="H3" s="1704"/>
      <c r="I3" s="1704"/>
      <c r="J3" s="415"/>
      <c r="K3" s="1703" t="s">
        <v>656</v>
      </c>
      <c r="L3" s="1704"/>
      <c r="M3" s="1704"/>
      <c r="N3" s="1704"/>
      <c r="AC3" s="1139" t="s">
        <v>815</v>
      </c>
    </row>
    <row r="4" spans="1:29" ht="5" customHeight="1">
      <c r="C4" s="339"/>
      <c r="D4" s="200"/>
    </row>
    <row r="5" spans="1:29" s="1219" customFormat="1" ht="30" customHeight="1">
      <c r="B5" s="1225" t="s">
        <v>96</v>
      </c>
      <c r="C5" s="1217" t="s">
        <v>34</v>
      </c>
      <c r="D5" s="1690" t="s">
        <v>168</v>
      </c>
      <c r="E5" s="1691"/>
      <c r="F5" s="1691"/>
      <c r="G5" s="1691"/>
      <c r="H5" s="1692"/>
      <c r="I5" s="1682" t="s">
        <v>28</v>
      </c>
      <c r="J5" s="1683"/>
      <c r="K5" s="1684" t="s">
        <v>32</v>
      </c>
      <c r="L5" s="1685"/>
      <c r="M5" s="1685"/>
      <c r="N5" s="1685"/>
      <c r="O5" s="1218"/>
      <c r="AC5" s="1140" t="s">
        <v>816</v>
      </c>
    </row>
    <row r="6" spans="1:29" ht="15" customHeight="1">
      <c r="B6" s="454"/>
      <c r="C6" s="505"/>
      <c r="D6" s="873">
        <v>1</v>
      </c>
      <c r="E6" s="873">
        <f>D6+1</f>
        <v>2</v>
      </c>
      <c r="F6" s="873">
        <f>E6+1</f>
        <v>3</v>
      </c>
      <c r="G6" s="873">
        <f>F6+1</f>
        <v>4</v>
      </c>
      <c r="H6" s="873">
        <f t="shared" ref="H6:N6" si="0">G6+1</f>
        <v>5</v>
      </c>
      <c r="I6" s="873">
        <f t="shared" si="0"/>
        <v>6</v>
      </c>
      <c r="J6" s="873">
        <f t="shared" si="0"/>
        <v>7</v>
      </c>
      <c r="K6" s="873">
        <f t="shared" si="0"/>
        <v>8</v>
      </c>
      <c r="L6" s="873">
        <f t="shared" si="0"/>
        <v>9</v>
      </c>
      <c r="M6" s="873">
        <f t="shared" si="0"/>
        <v>10</v>
      </c>
      <c r="N6" s="873">
        <f t="shared" si="0"/>
        <v>11</v>
      </c>
      <c r="AC6" s="1141" t="s">
        <v>817</v>
      </c>
    </row>
    <row r="7" spans="1:29" ht="102" customHeight="1">
      <c r="A7" s="14" t="s">
        <v>105</v>
      </c>
      <c r="B7" s="340"/>
      <c r="C7" s="1199" t="s">
        <v>841</v>
      </c>
      <c r="D7" s="1201" t="s">
        <v>220</v>
      </c>
      <c r="E7" s="1201" t="s">
        <v>221</v>
      </c>
      <c r="F7" s="1202" t="s">
        <v>222</v>
      </c>
      <c r="G7" s="1201" t="s">
        <v>223</v>
      </c>
      <c r="H7" s="988" t="s">
        <v>224</v>
      </c>
      <c r="I7" s="988" t="s">
        <v>225</v>
      </c>
      <c r="J7" s="872" t="s">
        <v>226</v>
      </c>
      <c r="K7" s="1201" t="s">
        <v>227</v>
      </c>
      <c r="L7" s="1201" t="s">
        <v>228</v>
      </c>
      <c r="M7" s="1201" t="s">
        <v>624</v>
      </c>
      <c r="N7" s="988" t="s">
        <v>230</v>
      </c>
      <c r="O7" s="1179"/>
      <c r="P7" s="1200" t="s">
        <v>850</v>
      </c>
      <c r="Q7" s="988" t="s">
        <v>560</v>
      </c>
      <c r="R7" s="48" t="s">
        <v>555</v>
      </c>
      <c r="S7" s="237" t="s">
        <v>231</v>
      </c>
      <c r="T7" s="1008" t="s">
        <v>811</v>
      </c>
      <c r="U7" s="264"/>
      <c r="AC7" s="1138" t="s">
        <v>818</v>
      </c>
    </row>
    <row r="8" spans="1:29" s="416" customFormat="1" ht="24" customHeight="1">
      <c r="A8" s="955">
        <v>1</v>
      </c>
      <c r="B8" s="885">
        <v>1</v>
      </c>
      <c r="C8" s="411" t="s">
        <v>107</v>
      </c>
      <c r="D8" s="787">
        <v>80</v>
      </c>
      <c r="E8" s="787">
        <f>2*D8</f>
        <v>160</v>
      </c>
      <c r="F8" s="787">
        <f>2*86</f>
        <v>172</v>
      </c>
      <c r="G8" s="1203">
        <f>F8*1.15</f>
        <v>197.79999999999998</v>
      </c>
      <c r="H8" s="997">
        <f>0.23*E8</f>
        <v>36.800000000000004</v>
      </c>
      <c r="I8" s="998">
        <f>0.5*(0.23*E8)</f>
        <v>18.400000000000002</v>
      </c>
      <c r="J8" s="870">
        <f>(2*13.75)</f>
        <v>27.5</v>
      </c>
      <c r="K8" s="787">
        <v>78</v>
      </c>
      <c r="L8" s="787">
        <v>82</v>
      </c>
      <c r="M8" s="787">
        <f>(2*L8)+(2*71)</f>
        <v>306</v>
      </c>
      <c r="N8" s="1000">
        <f>(2*26)+23</f>
        <v>75</v>
      </c>
      <c r="O8" s="1180" t="s">
        <v>105</v>
      </c>
      <c r="P8" s="411" t="s">
        <v>836</v>
      </c>
      <c r="Q8" s="412">
        <f>H8</f>
        <v>36.800000000000004</v>
      </c>
      <c r="R8" s="412">
        <f>N8</f>
        <v>75</v>
      </c>
      <c r="S8" s="413">
        <f>J8</f>
        <v>27.5</v>
      </c>
      <c r="T8" s="414">
        <f>M8-G8</f>
        <v>108.20000000000002</v>
      </c>
      <c r="U8" s="415"/>
      <c r="V8" s="415"/>
      <c r="W8" s="415"/>
      <c r="X8" s="415"/>
      <c r="Y8" s="415"/>
      <c r="Z8" s="415"/>
      <c r="AC8" s="1142">
        <f>B8</f>
        <v>1</v>
      </c>
    </row>
    <row r="9" spans="1:29" s="415" customFormat="1" ht="28" customHeight="1">
      <c r="A9" s="955">
        <f>A8+1</f>
        <v>2</v>
      </c>
      <c r="B9" s="885">
        <f>B8+1</f>
        <v>2</v>
      </c>
      <c r="C9" s="411" t="s">
        <v>108</v>
      </c>
      <c r="D9" s="787">
        <v>91</v>
      </c>
      <c r="E9" s="1203">
        <f>D9*2</f>
        <v>182</v>
      </c>
      <c r="F9" s="1204">
        <f>(2*94)</f>
        <v>188</v>
      </c>
      <c r="G9" s="1203">
        <f t="shared" ref="G9:G10" si="1">F9*1.15</f>
        <v>216.2</v>
      </c>
      <c r="H9" s="997">
        <f t="shared" ref="H9:H10" si="2">0.23*E9</f>
        <v>41.86</v>
      </c>
      <c r="I9" s="998">
        <f t="shared" ref="I9:I10" si="3">0.5*(0.23*E9)</f>
        <v>20.93</v>
      </c>
      <c r="J9" s="870">
        <f>(2*18.5)</f>
        <v>37</v>
      </c>
      <c r="K9" s="787">
        <f>493-409</f>
        <v>84</v>
      </c>
      <c r="L9" s="1090">
        <f>(306-227)</f>
        <v>79</v>
      </c>
      <c r="M9" s="787">
        <f>(2*L9)+(2*71)</f>
        <v>300</v>
      </c>
      <c r="N9" s="1001">
        <f>(2*38)+23</f>
        <v>99</v>
      </c>
      <c r="O9" s="1180" t="s">
        <v>105</v>
      </c>
      <c r="P9" s="411" t="s">
        <v>837</v>
      </c>
      <c r="Q9" s="412">
        <f>H9</f>
        <v>41.86</v>
      </c>
      <c r="R9" s="412">
        <f>N9</f>
        <v>99</v>
      </c>
      <c r="S9" s="413">
        <f>J9</f>
        <v>37</v>
      </c>
      <c r="T9" s="414">
        <f t="shared" ref="T9:T10" si="4">M9-G9</f>
        <v>83.800000000000011</v>
      </c>
      <c r="AC9" s="1143">
        <f>B9</f>
        <v>2</v>
      </c>
    </row>
    <row r="10" spans="1:29" s="415" customFormat="1" ht="28" customHeight="1">
      <c r="A10" s="955">
        <f>A9+1</f>
        <v>3</v>
      </c>
      <c r="B10" s="877">
        <v>1</v>
      </c>
      <c r="C10" s="417" t="s">
        <v>187</v>
      </c>
      <c r="D10" s="787">
        <v>164</v>
      </c>
      <c r="E10" s="1203">
        <f>D10*2</f>
        <v>328</v>
      </c>
      <c r="F10" s="787">
        <f>2*145</f>
        <v>290</v>
      </c>
      <c r="G10" s="1203">
        <f t="shared" si="1"/>
        <v>333.5</v>
      </c>
      <c r="H10" s="997">
        <f t="shared" si="2"/>
        <v>75.44</v>
      </c>
      <c r="I10" s="998">
        <f t="shared" si="3"/>
        <v>37.72</v>
      </c>
      <c r="J10" s="870">
        <f>(2*22)</f>
        <v>44</v>
      </c>
      <c r="K10" s="787">
        <f>(306-199)+(59)</f>
        <v>166</v>
      </c>
      <c r="L10" s="787">
        <v>86</v>
      </c>
      <c r="M10" s="787">
        <f>(2*L10)+(2*71)</f>
        <v>314</v>
      </c>
      <c r="N10" s="412">
        <f>(2*70)+23</f>
        <v>163</v>
      </c>
      <c r="O10" s="1180"/>
      <c r="P10" s="417" t="s">
        <v>838</v>
      </c>
      <c r="Q10" s="412">
        <f>H10</f>
        <v>75.44</v>
      </c>
      <c r="R10" s="412">
        <f>N10</f>
        <v>163</v>
      </c>
      <c r="S10" s="413">
        <f>J10</f>
        <v>44</v>
      </c>
      <c r="T10" s="414">
        <f t="shared" si="4"/>
        <v>-19.5</v>
      </c>
      <c r="AC10" s="1144">
        <f>B10</f>
        <v>1</v>
      </c>
    </row>
    <row r="11" spans="1:29" ht="15" customHeight="1">
      <c r="C11" s="1701" t="s">
        <v>842</v>
      </c>
      <c r="D11" s="1699" t="s">
        <v>843</v>
      </c>
      <c r="E11" s="1700"/>
      <c r="F11" s="1697" t="s">
        <v>844</v>
      </c>
      <c r="G11" s="1697" t="s">
        <v>845</v>
      </c>
      <c r="H11" s="1686" t="s">
        <v>190</v>
      </c>
      <c r="I11" s="1686"/>
      <c r="J11" s="1680" t="s">
        <v>846</v>
      </c>
      <c r="K11" s="1698" t="s">
        <v>847</v>
      </c>
      <c r="L11" s="1740" t="s">
        <v>188</v>
      </c>
      <c r="M11" s="1695" t="s">
        <v>848</v>
      </c>
      <c r="N11" s="1686" t="s">
        <v>849</v>
      </c>
      <c r="P11" s="1689" t="s">
        <v>658</v>
      </c>
    </row>
    <row r="12" spans="1:29">
      <c r="C12" s="1702"/>
      <c r="D12" s="1700"/>
      <c r="E12" s="1700"/>
      <c r="F12" s="1688"/>
      <c r="G12" s="1688"/>
      <c r="H12" s="1693"/>
      <c r="I12" s="1694"/>
      <c r="J12" s="1681"/>
      <c r="K12" s="1694"/>
      <c r="L12" s="1737"/>
      <c r="M12" s="1696"/>
      <c r="N12" s="1687"/>
      <c r="P12" s="1689"/>
    </row>
    <row r="13" spans="1:29">
      <c r="C13" s="1702"/>
      <c r="D13" s="1700"/>
      <c r="E13" s="1700"/>
      <c r="F13" s="1688"/>
      <c r="G13" s="1688"/>
      <c r="H13" s="1693"/>
      <c r="I13" s="1694"/>
      <c r="J13" s="1681"/>
      <c r="K13" s="1694"/>
      <c r="L13" s="1737"/>
      <c r="M13" s="1696"/>
      <c r="N13" s="1687"/>
      <c r="P13" s="1689"/>
    </row>
    <row r="14" spans="1:29" ht="14" customHeight="1">
      <c r="C14" s="1702"/>
      <c r="D14" s="1700"/>
      <c r="E14" s="1700"/>
      <c r="F14" s="1688"/>
      <c r="G14" s="1688"/>
      <c r="H14" s="1693"/>
      <c r="I14" s="1694"/>
      <c r="J14" s="1681"/>
      <c r="K14" s="1694"/>
      <c r="L14" s="1737"/>
      <c r="M14" s="1696"/>
      <c r="N14" s="1687"/>
      <c r="P14" s="1689"/>
    </row>
    <row r="15" spans="1:29" ht="15" customHeight="1">
      <c r="C15" s="1702"/>
      <c r="F15" s="1688"/>
      <c r="G15" s="1688"/>
      <c r="H15" s="1693"/>
      <c r="I15" s="1694"/>
      <c r="J15" s="1681"/>
      <c r="K15" s="1694"/>
      <c r="L15" s="1737"/>
      <c r="M15" s="1696"/>
      <c r="N15" s="1687"/>
      <c r="P15" s="1689"/>
    </row>
    <row r="16" spans="1:29">
      <c r="C16" s="1702"/>
      <c r="F16" s="1688"/>
      <c r="G16" s="1688"/>
      <c r="H16" s="1693"/>
      <c r="I16" s="1694"/>
      <c r="J16" s="1681"/>
      <c r="K16" s="1694"/>
      <c r="L16" s="1737"/>
      <c r="M16" s="1696"/>
      <c r="N16" s="1687"/>
      <c r="P16" s="1689"/>
      <c r="T16" s="509" t="s">
        <v>105</v>
      </c>
    </row>
    <row r="17" spans="1:29" ht="41.25" customHeight="1">
      <c r="C17" s="1702"/>
      <c r="F17" s="1688"/>
      <c r="G17" s="1688"/>
      <c r="H17" s="1693"/>
      <c r="I17" s="1694"/>
      <c r="J17" s="1681"/>
      <c r="K17" s="1694"/>
      <c r="L17" s="1737"/>
      <c r="M17" s="1696"/>
      <c r="N17" s="1687"/>
      <c r="P17" s="1689"/>
    </row>
    <row r="18" spans="1:29" ht="15" customHeight="1">
      <c r="C18" s="1702"/>
      <c r="F18" s="1688"/>
      <c r="G18" s="1688"/>
      <c r="H18" s="1693"/>
      <c r="I18" s="1694"/>
      <c r="J18" s="1681"/>
      <c r="K18" s="1694"/>
      <c r="L18" s="1737"/>
      <c r="M18" s="1696"/>
      <c r="N18" s="1687"/>
      <c r="P18" s="354"/>
      <c r="U18" s="509" t="s">
        <v>105</v>
      </c>
    </row>
    <row r="19" spans="1:29" ht="15" customHeight="1">
      <c r="C19" s="1702"/>
      <c r="F19" s="1688"/>
      <c r="G19" s="1688"/>
      <c r="H19" s="1693"/>
      <c r="I19" s="1694"/>
      <c r="J19" s="1681"/>
      <c r="K19" s="1694"/>
      <c r="L19" s="21"/>
      <c r="M19" s="1696"/>
      <c r="N19" s="1687"/>
    </row>
    <row r="20" spans="1:29">
      <c r="C20" s="1702"/>
      <c r="F20" s="1688"/>
      <c r="G20" s="1688"/>
      <c r="H20" s="1693"/>
      <c r="I20" s="1694"/>
      <c r="J20" s="1681"/>
      <c r="K20" s="1694"/>
      <c r="L20" s="21"/>
      <c r="M20" s="1696"/>
      <c r="N20" s="1687"/>
      <c r="T20" s="509" t="s">
        <v>105</v>
      </c>
    </row>
    <row r="21" spans="1:29">
      <c r="C21" s="1702"/>
      <c r="F21" s="1688"/>
      <c r="G21" s="1688"/>
      <c r="H21" s="1693"/>
      <c r="I21" s="1694"/>
      <c r="J21" s="1681"/>
      <c r="K21" s="1694"/>
      <c r="M21" s="1696"/>
      <c r="N21" s="1687"/>
      <c r="W21" s="14" t="s">
        <v>105</v>
      </c>
    </row>
    <row r="22" spans="1:29">
      <c r="C22" s="1702"/>
      <c r="G22" s="1688"/>
      <c r="H22" s="1693"/>
      <c r="I22" s="1694"/>
      <c r="J22" s="1681"/>
      <c r="M22" s="1687"/>
      <c r="N22" s="1688"/>
    </row>
    <row r="23" spans="1:29">
      <c r="C23" s="1702"/>
      <c r="G23" s="1688"/>
      <c r="H23" s="1693"/>
      <c r="I23" s="1694"/>
      <c r="J23" s="1681"/>
      <c r="M23" s="1687"/>
      <c r="N23" s="1688"/>
    </row>
    <row r="24" spans="1:29">
      <c r="C24" s="1702"/>
      <c r="G24" s="1688"/>
      <c r="H24" s="1693"/>
      <c r="I24" s="1694"/>
      <c r="J24" s="1681"/>
      <c r="M24" s="1687"/>
      <c r="N24" s="1688"/>
    </row>
    <row r="25" spans="1:29">
      <c r="C25" s="1702"/>
      <c r="G25" s="1688"/>
      <c r="H25" s="1693"/>
      <c r="I25" s="1694"/>
      <c r="J25" s="1681"/>
      <c r="M25" s="1687"/>
      <c r="N25" s="1688"/>
    </row>
    <row r="26" spans="1:29">
      <c r="C26" s="1702"/>
      <c r="G26" s="1688"/>
      <c r="H26" s="1693"/>
      <c r="I26" s="1694"/>
      <c r="J26" s="1681"/>
      <c r="M26" s="1687"/>
      <c r="N26" s="1688"/>
    </row>
    <row r="27" spans="1:29" ht="72" customHeight="1">
      <c r="C27" s="1702"/>
      <c r="G27" s="1688"/>
      <c r="H27" s="1693"/>
      <c r="I27" s="1694"/>
      <c r="J27" s="1681"/>
      <c r="M27" s="1687"/>
      <c r="N27" s="1688"/>
    </row>
    <row r="28" spans="1:29" ht="17" customHeight="1">
      <c r="J28" s="592"/>
      <c r="AC28" s="1113"/>
    </row>
    <row r="29" spans="1:29" s="298" customFormat="1">
      <c r="A29" s="954"/>
      <c r="C29" s="339"/>
      <c r="D29" s="300"/>
      <c r="H29" s="588"/>
      <c r="I29" s="588"/>
      <c r="J29" s="593"/>
      <c r="O29" s="1181"/>
      <c r="AC29" s="1111"/>
    </row>
    <row r="30" spans="1:29" s="1222" customFormat="1" ht="30" customHeight="1">
      <c r="B30" s="1223" t="s">
        <v>97</v>
      </c>
      <c r="C30" s="1217" t="s">
        <v>34</v>
      </c>
      <c r="D30" s="1690" t="s">
        <v>168</v>
      </c>
      <c r="E30" s="1691"/>
      <c r="F30" s="1691"/>
      <c r="G30" s="1691"/>
      <c r="H30" s="1692"/>
      <c r="I30" s="1682" t="s">
        <v>28</v>
      </c>
      <c r="J30" s="1683"/>
      <c r="K30" s="1684" t="s">
        <v>32</v>
      </c>
      <c r="L30" s="1685"/>
      <c r="M30" s="1685"/>
      <c r="N30" s="1685"/>
      <c r="O30" s="1224"/>
    </row>
    <row r="31" spans="1:29" s="298" customFormat="1">
      <c r="A31" s="954"/>
      <c r="B31" s="455"/>
      <c r="C31" s="505"/>
      <c r="D31" s="873">
        <v>1</v>
      </c>
      <c r="E31" s="873">
        <f>D31+1</f>
        <v>2</v>
      </c>
      <c r="F31" s="873">
        <f>E31+1</f>
        <v>3</v>
      </c>
      <c r="G31" s="873">
        <f>F31+1</f>
        <v>4</v>
      </c>
      <c r="H31" s="873">
        <f t="shared" ref="H31" si="5">G31+1</f>
        <v>5</v>
      </c>
      <c r="I31" s="873">
        <f t="shared" ref="I31" si="6">H31+1</f>
        <v>6</v>
      </c>
      <c r="J31" s="873">
        <f t="shared" ref="J31" si="7">I31+1</f>
        <v>7</v>
      </c>
      <c r="K31" s="873">
        <f t="shared" ref="K31" si="8">J31+1</f>
        <v>8</v>
      </c>
      <c r="L31" s="873">
        <f t="shared" ref="L31" si="9">K31+1</f>
        <v>9</v>
      </c>
      <c r="M31" s="873">
        <f t="shared" ref="M31" si="10">L31+1</f>
        <v>10</v>
      </c>
      <c r="N31" s="873">
        <f t="shared" ref="N31" si="11">M31+1</f>
        <v>11</v>
      </c>
      <c r="O31" s="1181"/>
      <c r="AC31" s="1111"/>
    </row>
    <row r="32" spans="1:29" ht="15" customHeight="1">
      <c r="B32" s="456"/>
      <c r="C32" s="1712" t="s">
        <v>232</v>
      </c>
      <c r="D32" s="1715" t="s">
        <v>220</v>
      </c>
      <c r="E32" s="1715" t="s">
        <v>221</v>
      </c>
      <c r="F32" s="1749" t="s">
        <v>222</v>
      </c>
      <c r="G32" s="1715" t="s">
        <v>223</v>
      </c>
      <c r="H32" s="1716" t="s">
        <v>224</v>
      </c>
      <c r="I32" s="1716" t="s">
        <v>225</v>
      </c>
      <c r="J32" s="1713" t="s">
        <v>226</v>
      </c>
      <c r="K32" s="1715" t="s">
        <v>227</v>
      </c>
      <c r="L32" s="1715" t="s">
        <v>228</v>
      </c>
      <c r="M32" s="1715" t="s">
        <v>624</v>
      </c>
      <c r="N32" s="1716" t="s">
        <v>230</v>
      </c>
      <c r="O32" s="1182"/>
      <c r="P32" s="1738" t="s">
        <v>851</v>
      </c>
      <c r="Q32" s="1716" t="s">
        <v>560</v>
      </c>
      <c r="R32" s="1725" t="s">
        <v>555</v>
      </c>
      <c r="S32" s="1724" t="s">
        <v>231</v>
      </c>
      <c r="T32" s="1723" t="s">
        <v>811</v>
      </c>
      <c r="AC32" s="1113"/>
    </row>
    <row r="33" spans="1:30" ht="124" customHeight="1">
      <c r="C33" s="1712"/>
      <c r="D33" s="1714"/>
      <c r="E33" s="1714"/>
      <c r="F33" s="1714"/>
      <c r="G33" s="1714"/>
      <c r="H33" s="1714"/>
      <c r="I33" s="1714"/>
      <c r="J33" s="1714"/>
      <c r="K33" s="1714"/>
      <c r="L33" s="1714"/>
      <c r="M33" s="1714"/>
      <c r="N33" s="1714"/>
      <c r="O33" s="1182"/>
      <c r="P33" s="1738"/>
      <c r="Q33" s="1739"/>
      <c r="R33" s="1714"/>
      <c r="S33" s="1714"/>
      <c r="T33" s="1714"/>
      <c r="AC33" s="1138" t="s">
        <v>818</v>
      </c>
      <c r="AD33" s="1091" t="s">
        <v>105</v>
      </c>
    </row>
    <row r="34" spans="1:30">
      <c r="A34" s="936">
        <f>A10+1</f>
        <v>4</v>
      </c>
      <c r="B34" s="886">
        <f>B9+1</f>
        <v>3</v>
      </c>
      <c r="C34" s="577" t="s">
        <v>703</v>
      </c>
      <c r="D34" s="1205">
        <v>17</v>
      </c>
      <c r="E34" s="1205">
        <f t="shared" ref="E34:E39" si="12">2*D34</f>
        <v>34</v>
      </c>
      <c r="F34" s="1205">
        <f>2*18</f>
        <v>36</v>
      </c>
      <c r="G34" s="1206">
        <f t="shared" ref="G34:G39" si="13">F34*1.15</f>
        <v>41.4</v>
      </c>
      <c r="H34" s="583">
        <f>0.23*E34</f>
        <v>7.82</v>
      </c>
      <c r="I34" s="583">
        <f>0.5*(0.23*E34)*1.1</f>
        <v>4.3010000000000002</v>
      </c>
      <c r="J34" s="871">
        <f>(2*6)+23</f>
        <v>35</v>
      </c>
      <c r="K34" s="1205">
        <v>6</v>
      </c>
      <c r="L34" s="1208">
        <v>17</v>
      </c>
      <c r="M34" s="1205">
        <f t="shared" ref="M34:M39" si="14">2*(L34+71)</f>
        <v>176</v>
      </c>
      <c r="N34" s="304">
        <f>(2*28)+23</f>
        <v>79</v>
      </c>
      <c r="P34" s="306" t="s">
        <v>27</v>
      </c>
      <c r="Q34" s="304">
        <f t="shared" ref="Q34:Q39" si="15">H34</f>
        <v>7.82</v>
      </c>
      <c r="R34" s="304">
        <f t="shared" ref="R34:R39" si="16">N34</f>
        <v>79</v>
      </c>
      <c r="S34" s="304">
        <f t="shared" ref="S34:S39" si="17">J34</f>
        <v>35</v>
      </c>
      <c r="T34" s="414">
        <f>M34-G34</f>
        <v>134.6</v>
      </c>
      <c r="AC34" s="1145">
        <f>B34</f>
        <v>3</v>
      </c>
    </row>
    <row r="35" spans="1:30">
      <c r="A35" s="936">
        <f>A34+1</f>
        <v>5</v>
      </c>
      <c r="B35" s="886">
        <f>B34+1</f>
        <v>4</v>
      </c>
      <c r="C35" s="306" t="s">
        <v>109</v>
      </c>
      <c r="D35" s="1205">
        <v>15</v>
      </c>
      <c r="E35" s="1205">
        <f t="shared" si="12"/>
        <v>30</v>
      </c>
      <c r="F35" s="1205">
        <f>2*27</f>
        <v>54</v>
      </c>
      <c r="G35" s="1206">
        <f t="shared" si="13"/>
        <v>62.099999999999994</v>
      </c>
      <c r="H35" s="583">
        <f t="shared" ref="H35:H39" si="18">0.23*E35</f>
        <v>6.9</v>
      </c>
      <c r="I35" s="583">
        <f t="shared" ref="I35:I39" si="19">0.5*(0.23*E35)*1.1</f>
        <v>3.7950000000000004</v>
      </c>
      <c r="J35" s="871">
        <f>(2*6)+23</f>
        <v>35</v>
      </c>
      <c r="K35" s="1205">
        <v>13</v>
      </c>
      <c r="L35" s="1208">
        <v>9</v>
      </c>
      <c r="M35" s="1205">
        <f t="shared" si="14"/>
        <v>160</v>
      </c>
      <c r="N35" s="304">
        <f>(2*28)+23</f>
        <v>79</v>
      </c>
      <c r="P35" s="306" t="s">
        <v>71</v>
      </c>
      <c r="Q35" s="304">
        <f t="shared" si="15"/>
        <v>6.9</v>
      </c>
      <c r="R35" s="304">
        <f t="shared" si="16"/>
        <v>79</v>
      </c>
      <c r="S35" s="304">
        <f t="shared" si="17"/>
        <v>35</v>
      </c>
      <c r="T35" s="414">
        <f t="shared" ref="T35:T39" si="20">M35-G35</f>
        <v>97.9</v>
      </c>
      <c r="AC35" s="1145">
        <f t="shared" ref="AC35:AC39" si="21">B35</f>
        <v>4</v>
      </c>
    </row>
    <row r="36" spans="1:30">
      <c r="A36" s="936">
        <f t="shared" ref="A36:A39" si="22">A35+1</f>
        <v>6</v>
      </c>
      <c r="B36" s="886">
        <f>B35+1</f>
        <v>5</v>
      </c>
      <c r="C36" s="306" t="s">
        <v>110</v>
      </c>
      <c r="D36" s="1205">
        <v>16</v>
      </c>
      <c r="E36" s="1205">
        <f t="shared" si="12"/>
        <v>32</v>
      </c>
      <c r="F36" s="1205">
        <f>2*31</f>
        <v>62</v>
      </c>
      <c r="G36" s="1206">
        <f t="shared" si="13"/>
        <v>71.3</v>
      </c>
      <c r="H36" s="583">
        <f t="shared" si="18"/>
        <v>7.36</v>
      </c>
      <c r="I36" s="583">
        <f t="shared" si="19"/>
        <v>4.0480000000000009</v>
      </c>
      <c r="J36" s="871">
        <f>(2*6.5)+23</f>
        <v>36</v>
      </c>
      <c r="K36" s="1205">
        <v>14</v>
      </c>
      <c r="L36" s="1208">
        <v>29</v>
      </c>
      <c r="M36" s="1205">
        <f t="shared" si="14"/>
        <v>200</v>
      </c>
      <c r="N36" s="304">
        <f>(2*28)+23</f>
        <v>79</v>
      </c>
      <c r="P36" s="306" t="s">
        <v>72</v>
      </c>
      <c r="Q36" s="304">
        <f t="shared" si="15"/>
        <v>7.36</v>
      </c>
      <c r="R36" s="304">
        <f t="shared" si="16"/>
        <v>79</v>
      </c>
      <c r="S36" s="304">
        <f t="shared" si="17"/>
        <v>36</v>
      </c>
      <c r="T36" s="414">
        <f t="shared" si="20"/>
        <v>128.69999999999999</v>
      </c>
      <c r="AC36" s="1145">
        <f t="shared" si="21"/>
        <v>5</v>
      </c>
    </row>
    <row r="37" spans="1:30">
      <c r="A37" s="936">
        <f t="shared" si="22"/>
        <v>7</v>
      </c>
      <c r="B37" s="886">
        <f>B36+1</f>
        <v>6</v>
      </c>
      <c r="C37" s="306" t="s">
        <v>111</v>
      </c>
      <c r="D37" s="1205">
        <v>15</v>
      </c>
      <c r="E37" s="1205">
        <f t="shared" si="12"/>
        <v>30</v>
      </c>
      <c r="F37" s="1205">
        <f>2*14</f>
        <v>28</v>
      </c>
      <c r="G37" s="1206">
        <f t="shared" si="13"/>
        <v>32.199999999999996</v>
      </c>
      <c r="H37" s="583">
        <f t="shared" si="18"/>
        <v>6.9</v>
      </c>
      <c r="I37" s="583">
        <f t="shared" si="19"/>
        <v>3.7950000000000004</v>
      </c>
      <c r="J37" s="871">
        <f>(2*5.75)+23</f>
        <v>34.5</v>
      </c>
      <c r="K37" s="1205">
        <v>15</v>
      </c>
      <c r="L37" s="1208">
        <f>16</f>
        <v>16</v>
      </c>
      <c r="M37" s="1205">
        <f t="shared" si="14"/>
        <v>174</v>
      </c>
      <c r="N37" s="304">
        <f>(2*19)+23</f>
        <v>61</v>
      </c>
      <c r="P37" s="306" t="s">
        <v>74</v>
      </c>
      <c r="Q37" s="304">
        <f t="shared" si="15"/>
        <v>6.9</v>
      </c>
      <c r="R37" s="304">
        <f t="shared" si="16"/>
        <v>61</v>
      </c>
      <c r="S37" s="304">
        <f t="shared" si="17"/>
        <v>34.5</v>
      </c>
      <c r="T37" s="414">
        <f t="shared" si="20"/>
        <v>141.80000000000001</v>
      </c>
      <c r="AC37" s="1145">
        <f t="shared" si="21"/>
        <v>6</v>
      </c>
    </row>
    <row r="38" spans="1:30">
      <c r="A38" s="936">
        <f t="shared" si="22"/>
        <v>8</v>
      </c>
      <c r="B38" s="886">
        <f>B37+1</f>
        <v>7</v>
      </c>
      <c r="C38" s="306" t="s">
        <v>112</v>
      </c>
      <c r="D38" s="1205">
        <v>30</v>
      </c>
      <c r="E38" s="1205">
        <f t="shared" si="12"/>
        <v>60</v>
      </c>
      <c r="F38" s="1205">
        <f>2*46</f>
        <v>92</v>
      </c>
      <c r="G38" s="1206">
        <f t="shared" si="13"/>
        <v>105.8</v>
      </c>
      <c r="H38" s="583">
        <f t="shared" si="18"/>
        <v>13.8</v>
      </c>
      <c r="I38" s="583">
        <f t="shared" si="19"/>
        <v>7.5900000000000007</v>
      </c>
      <c r="J38" s="871">
        <f>(2*8.75)+23</f>
        <v>40.5</v>
      </c>
      <c r="K38" s="1205">
        <v>20</v>
      </c>
      <c r="L38" s="1208">
        <v>46</v>
      </c>
      <c r="M38" s="1205">
        <f t="shared" si="14"/>
        <v>234</v>
      </c>
      <c r="N38" s="304">
        <f>(2*32)+23</f>
        <v>87</v>
      </c>
      <c r="P38" s="306" t="s">
        <v>73</v>
      </c>
      <c r="Q38" s="304">
        <f t="shared" si="15"/>
        <v>13.8</v>
      </c>
      <c r="R38" s="304">
        <f t="shared" si="16"/>
        <v>87</v>
      </c>
      <c r="S38" s="304">
        <f t="shared" si="17"/>
        <v>40.5</v>
      </c>
      <c r="T38" s="414">
        <f t="shared" si="20"/>
        <v>128.19999999999999</v>
      </c>
      <c r="AC38" s="1145">
        <f t="shared" si="21"/>
        <v>7</v>
      </c>
    </row>
    <row r="39" spans="1:30">
      <c r="A39" s="936">
        <f t="shared" si="22"/>
        <v>9</v>
      </c>
      <c r="B39" s="886">
        <f>B38+1</f>
        <v>8</v>
      </c>
      <c r="C39" s="577" t="s">
        <v>189</v>
      </c>
      <c r="D39" s="1205">
        <f>29</f>
        <v>29</v>
      </c>
      <c r="E39" s="1205">
        <f t="shared" si="12"/>
        <v>58</v>
      </c>
      <c r="F39" s="1205">
        <f>2*47</f>
        <v>94</v>
      </c>
      <c r="G39" s="1206">
        <f t="shared" si="13"/>
        <v>108.1</v>
      </c>
      <c r="H39" s="583">
        <f t="shared" si="18"/>
        <v>13.34</v>
      </c>
      <c r="I39" s="583">
        <f t="shared" si="19"/>
        <v>7.3370000000000006</v>
      </c>
      <c r="J39" s="871">
        <f>(2*8.75)+23</f>
        <v>40.5</v>
      </c>
      <c r="K39" s="1205">
        <v>27</v>
      </c>
      <c r="L39" s="1208">
        <v>38</v>
      </c>
      <c r="M39" s="1205">
        <f t="shared" si="14"/>
        <v>218</v>
      </c>
      <c r="N39" s="304">
        <f>(2*32)+23</f>
        <v>87</v>
      </c>
      <c r="P39" s="306" t="s">
        <v>75</v>
      </c>
      <c r="Q39" s="304">
        <f t="shared" si="15"/>
        <v>13.34</v>
      </c>
      <c r="R39" s="304">
        <f t="shared" si="16"/>
        <v>87</v>
      </c>
      <c r="S39" s="304">
        <f t="shared" si="17"/>
        <v>40.5</v>
      </c>
      <c r="T39" s="414">
        <f t="shared" si="20"/>
        <v>109.9</v>
      </c>
      <c r="AC39" s="1145">
        <f t="shared" si="21"/>
        <v>8</v>
      </c>
    </row>
    <row r="40" spans="1:30" ht="15" customHeight="1">
      <c r="C40" s="1747"/>
      <c r="D40" s="1699" t="s">
        <v>843</v>
      </c>
      <c r="E40" s="1700"/>
      <c r="F40" s="1697" t="s">
        <v>844</v>
      </c>
      <c r="G40" s="1697" t="s">
        <v>845</v>
      </c>
      <c r="H40" s="1686" t="s">
        <v>190</v>
      </c>
      <c r="I40" s="1686"/>
      <c r="J40" s="1680" t="s">
        <v>846</v>
      </c>
      <c r="K40" s="1698" t="s">
        <v>847</v>
      </c>
      <c r="L40" s="1740" t="s">
        <v>188</v>
      </c>
      <c r="M40" s="1695" t="s">
        <v>848</v>
      </c>
      <c r="N40" s="1686" t="s">
        <v>849</v>
      </c>
      <c r="P40" s="1736"/>
    </row>
    <row r="41" spans="1:30">
      <c r="C41" s="1748"/>
      <c r="D41" s="1700"/>
      <c r="E41" s="1700"/>
      <c r="F41" s="1688"/>
      <c r="G41" s="1688"/>
      <c r="H41" s="1693"/>
      <c r="I41" s="1694"/>
      <c r="J41" s="1681"/>
      <c r="K41" s="1694"/>
      <c r="L41" s="1737"/>
      <c r="M41" s="1696"/>
      <c r="N41" s="1687"/>
      <c r="P41" s="1736"/>
    </row>
    <row r="42" spans="1:30">
      <c r="C42" s="1748"/>
      <c r="D42" s="1700"/>
      <c r="E42" s="1700"/>
      <c r="F42" s="1688"/>
      <c r="G42" s="1688"/>
      <c r="H42" s="1693"/>
      <c r="I42" s="1694"/>
      <c r="J42" s="1681"/>
      <c r="K42" s="1694"/>
      <c r="L42" s="1737"/>
      <c r="M42" s="1696"/>
      <c r="N42" s="1687"/>
      <c r="P42" s="1736"/>
    </row>
    <row r="43" spans="1:30" ht="14" customHeight="1">
      <c r="C43" s="1748"/>
      <c r="D43" s="1700"/>
      <c r="E43" s="1700"/>
      <c r="F43" s="1688"/>
      <c r="G43" s="1688"/>
      <c r="H43" s="1693"/>
      <c r="I43" s="1694"/>
      <c r="J43" s="1681"/>
      <c r="K43" s="1694"/>
      <c r="L43" s="1737"/>
      <c r="M43" s="1696"/>
      <c r="N43" s="1687"/>
      <c r="P43" s="1736"/>
    </row>
    <row r="44" spans="1:30" ht="15" customHeight="1">
      <c r="C44" s="1748"/>
      <c r="F44" s="1688"/>
      <c r="G44" s="1688"/>
      <c r="H44" s="1693"/>
      <c r="I44" s="1694"/>
      <c r="J44" s="1681"/>
      <c r="K44" s="1694"/>
      <c r="L44" s="1737"/>
      <c r="M44" s="1696"/>
      <c r="N44" s="1687"/>
      <c r="P44" s="1736"/>
      <c r="T44" s="509" t="s">
        <v>105</v>
      </c>
    </row>
    <row r="45" spans="1:30">
      <c r="C45" s="1748"/>
      <c r="F45" s="1688"/>
      <c r="G45" s="1688"/>
      <c r="H45" s="1693"/>
      <c r="I45" s="1694"/>
      <c r="J45" s="1681"/>
      <c r="K45" s="1694"/>
      <c r="L45" s="1737"/>
      <c r="M45" s="1696"/>
      <c r="N45" s="1687"/>
      <c r="P45" s="1736"/>
      <c r="T45" s="509" t="s">
        <v>105</v>
      </c>
    </row>
    <row r="46" spans="1:30" ht="41.25" customHeight="1">
      <c r="C46" s="1748"/>
      <c r="F46" s="1688"/>
      <c r="G46" s="1688"/>
      <c r="H46" s="1693"/>
      <c r="I46" s="1694"/>
      <c r="J46" s="1681"/>
      <c r="K46" s="1694"/>
      <c r="L46" s="1737"/>
      <c r="M46" s="1696"/>
      <c r="N46" s="1687"/>
      <c r="P46" s="1736"/>
    </row>
    <row r="47" spans="1:30" ht="15" customHeight="1">
      <c r="C47" s="1748"/>
      <c r="F47" s="1688"/>
      <c r="G47" s="1688"/>
      <c r="H47" s="1693"/>
      <c r="I47" s="1694"/>
      <c r="J47" s="1681"/>
      <c r="K47" s="1694"/>
      <c r="L47" s="1737"/>
      <c r="M47" s="1696"/>
      <c r="N47" s="1687"/>
      <c r="P47" s="354"/>
      <c r="U47" s="509" t="s">
        <v>105</v>
      </c>
    </row>
    <row r="48" spans="1:30" ht="15" customHeight="1">
      <c r="C48" s="1748"/>
      <c r="F48" s="1688"/>
      <c r="G48" s="1688"/>
      <c r="H48" s="1693"/>
      <c r="I48" s="1694"/>
      <c r="J48" s="1681"/>
      <c r="K48" s="1694"/>
      <c r="L48" s="21"/>
      <c r="M48" s="1696"/>
      <c r="N48" s="1687"/>
    </row>
    <row r="49" spans="2:31">
      <c r="C49" s="1748"/>
      <c r="F49" s="1688"/>
      <c r="G49" s="1688"/>
      <c r="H49" s="1693"/>
      <c r="I49" s="1694"/>
      <c r="J49" s="1681"/>
      <c r="K49" s="1694"/>
      <c r="L49" s="21"/>
      <c r="M49" s="1696"/>
      <c r="N49" s="1687"/>
    </row>
    <row r="50" spans="2:31">
      <c r="C50" s="1748"/>
      <c r="F50" s="1688"/>
      <c r="G50" s="1688"/>
      <c r="H50" s="1693"/>
      <c r="I50" s="1694"/>
      <c r="J50" s="1681"/>
      <c r="K50" s="1694"/>
      <c r="M50" s="1696"/>
      <c r="N50" s="1687"/>
      <c r="W50" s="14" t="s">
        <v>105</v>
      </c>
    </row>
    <row r="51" spans="2:31">
      <c r="C51" s="1748"/>
      <c r="G51" s="1688"/>
      <c r="H51" s="1693"/>
      <c r="I51" s="1694"/>
      <c r="J51" s="1681"/>
      <c r="M51" s="1687"/>
      <c r="N51" s="1688"/>
    </row>
    <row r="52" spans="2:31">
      <c r="C52" s="1748"/>
      <c r="G52" s="1688"/>
      <c r="H52" s="1693"/>
      <c r="I52" s="1694"/>
      <c r="J52" s="1681"/>
      <c r="M52" s="1687"/>
      <c r="N52" s="1688"/>
    </row>
    <row r="53" spans="2:31">
      <c r="C53" s="1748"/>
      <c r="G53" s="1688"/>
      <c r="H53" s="1693"/>
      <c r="I53" s="1694"/>
      <c r="J53" s="1681"/>
      <c r="M53" s="1687"/>
      <c r="N53" s="1688"/>
    </row>
    <row r="54" spans="2:31">
      <c r="C54" s="1748"/>
      <c r="G54" s="1688"/>
      <c r="H54" s="1693"/>
      <c r="I54" s="1694"/>
      <c r="J54" s="1681"/>
      <c r="M54" s="1687"/>
      <c r="N54" s="1688"/>
    </row>
    <row r="55" spans="2:31">
      <c r="C55" s="1748"/>
      <c r="G55" s="1688"/>
      <c r="H55" s="1693"/>
      <c r="I55" s="1694"/>
      <c r="J55" s="1681"/>
      <c r="M55" s="1687"/>
      <c r="N55" s="1688"/>
    </row>
    <row r="56" spans="2:31" ht="66" customHeight="1">
      <c r="C56" s="1748"/>
      <c r="G56" s="1688"/>
      <c r="H56" s="1693"/>
      <c r="I56" s="1694"/>
      <c r="J56" s="1681"/>
      <c r="M56" s="1687"/>
      <c r="N56" s="1688"/>
    </row>
    <row r="57" spans="2:31">
      <c r="C57" s="505"/>
      <c r="D57" s="301"/>
      <c r="E57" s="301"/>
      <c r="F57" s="301"/>
      <c r="G57" s="301"/>
      <c r="H57" s="589"/>
      <c r="I57" s="589"/>
      <c r="J57" s="594"/>
      <c r="K57" s="301"/>
      <c r="L57" s="301"/>
      <c r="M57" s="301"/>
      <c r="N57" s="301"/>
      <c r="AC57" s="1110"/>
    </row>
    <row r="58" spans="2:31">
      <c r="C58" s="339"/>
      <c r="D58" s="302"/>
      <c r="E58" s="302"/>
      <c r="F58" s="302"/>
      <c r="G58" s="302"/>
      <c r="H58" s="590"/>
      <c r="I58" s="590"/>
      <c r="J58" s="595"/>
      <c r="K58" s="302"/>
      <c r="L58" s="302"/>
      <c r="M58" s="302"/>
      <c r="N58" s="302"/>
      <c r="AC58" s="1110"/>
    </row>
    <row r="59" spans="2:31" s="1219" customFormat="1" ht="33">
      <c r="B59" s="1220" t="s">
        <v>98</v>
      </c>
      <c r="C59" s="1217" t="s">
        <v>35</v>
      </c>
      <c r="D59" s="1690" t="s">
        <v>168</v>
      </c>
      <c r="E59" s="1691"/>
      <c r="F59" s="1691"/>
      <c r="G59" s="1691"/>
      <c r="H59" s="1692"/>
      <c r="I59" s="1682" t="s">
        <v>28</v>
      </c>
      <c r="J59" s="1683"/>
      <c r="K59" s="1684" t="s">
        <v>32</v>
      </c>
      <c r="L59" s="1685"/>
      <c r="M59" s="1685"/>
      <c r="N59" s="1685"/>
      <c r="O59" s="1218"/>
      <c r="AC59" s="1221"/>
    </row>
    <row r="60" spans="2:31" ht="15" customHeight="1">
      <c r="C60" s="1742" t="s">
        <v>238</v>
      </c>
      <c r="D60" s="1706" t="s">
        <v>220</v>
      </c>
      <c r="E60" s="1706" t="s">
        <v>221</v>
      </c>
      <c r="F60" s="1721" t="s">
        <v>233</v>
      </c>
      <c r="G60" s="1706" t="s">
        <v>239</v>
      </c>
      <c r="H60" s="1708" t="s">
        <v>224</v>
      </c>
      <c r="I60" s="1708" t="s">
        <v>225</v>
      </c>
      <c r="J60" s="1710" t="s">
        <v>235</v>
      </c>
      <c r="K60" s="1728" t="s">
        <v>227</v>
      </c>
      <c r="L60" s="1728" t="s">
        <v>228</v>
      </c>
      <c r="M60" s="1728" t="s">
        <v>229</v>
      </c>
      <c r="N60" s="1729" t="s">
        <v>230</v>
      </c>
      <c r="P60" s="1686" t="s">
        <v>852</v>
      </c>
      <c r="Q60" s="1716" t="s">
        <v>357</v>
      </c>
      <c r="R60" s="1725" t="s">
        <v>561</v>
      </c>
      <c r="S60" s="1724" t="s">
        <v>237</v>
      </c>
      <c r="T60" s="1723" t="s">
        <v>811</v>
      </c>
      <c r="AC60" s="1719" t="s">
        <v>818</v>
      </c>
    </row>
    <row r="61" spans="2:31" ht="15" customHeight="1">
      <c r="C61" s="1746"/>
      <c r="D61" s="1721"/>
      <c r="E61" s="1706"/>
      <c r="F61" s="1721"/>
      <c r="G61" s="1737"/>
      <c r="H61" s="1709"/>
      <c r="I61" s="1708"/>
      <c r="J61" s="1710"/>
      <c r="K61" s="1728"/>
      <c r="L61" s="1728"/>
      <c r="M61" s="1728"/>
      <c r="N61" s="1729"/>
      <c r="P61" s="1735"/>
      <c r="Q61" s="1730"/>
      <c r="R61" s="1688"/>
      <c r="S61" s="1688"/>
      <c r="T61" s="1688"/>
      <c r="AC61" s="1720"/>
    </row>
    <row r="62" spans="2:31" ht="15" customHeight="1">
      <c r="C62" s="1746"/>
      <c r="D62" s="1722"/>
      <c r="E62" s="1707"/>
      <c r="F62" s="1707"/>
      <c r="G62" s="1737"/>
      <c r="H62" s="1709"/>
      <c r="I62" s="1708"/>
      <c r="J62" s="1711"/>
      <c r="K62" s="1693"/>
      <c r="L62" s="1693"/>
      <c r="M62" s="1693"/>
      <c r="N62" s="1730"/>
      <c r="P62" s="1735"/>
      <c r="Q62" s="1730"/>
      <c r="R62" s="1688"/>
      <c r="S62" s="1688"/>
      <c r="T62" s="1688"/>
      <c r="AC62" s="1720"/>
    </row>
    <row r="63" spans="2:31" ht="15" customHeight="1">
      <c r="C63" s="1746"/>
      <c r="D63" s="1722"/>
      <c r="E63" s="1707"/>
      <c r="F63" s="1707"/>
      <c r="G63" s="1737"/>
      <c r="H63" s="1709"/>
      <c r="I63" s="1708"/>
      <c r="J63" s="1711"/>
      <c r="K63" s="1693"/>
      <c r="L63" s="1693"/>
      <c r="M63" s="1693"/>
      <c r="N63" s="1730"/>
      <c r="P63" s="1735"/>
      <c r="Q63" s="1730"/>
      <c r="R63" s="1688"/>
      <c r="S63" s="1688"/>
      <c r="T63" s="1688"/>
      <c r="AC63" s="1720"/>
    </row>
    <row r="64" spans="2:31" ht="15" customHeight="1">
      <c r="C64" s="1746"/>
      <c r="D64" s="1722"/>
      <c r="E64" s="1707"/>
      <c r="F64" s="1707"/>
      <c r="G64" s="1737"/>
      <c r="H64" s="1709"/>
      <c r="I64" s="1708"/>
      <c r="J64" s="1711"/>
      <c r="K64" s="1693"/>
      <c r="L64" s="1693"/>
      <c r="M64" s="1693"/>
      <c r="N64" s="1730"/>
      <c r="P64" s="1735"/>
      <c r="Q64" s="1730"/>
      <c r="R64" s="1688"/>
      <c r="S64" s="1688"/>
      <c r="T64" s="1688"/>
      <c r="AC64" s="1720"/>
      <c r="AE64" s="1717"/>
    </row>
    <row r="65" spans="1:31" ht="15" customHeight="1">
      <c r="C65" s="1746"/>
      <c r="D65" s="1722"/>
      <c r="E65" s="1707"/>
      <c r="F65" s="1707"/>
      <c r="G65" s="1737"/>
      <c r="H65" s="1709"/>
      <c r="I65" s="1708"/>
      <c r="J65" s="1711"/>
      <c r="K65" s="1693"/>
      <c r="L65" s="1693"/>
      <c r="M65" s="1693"/>
      <c r="N65" s="1730"/>
      <c r="P65" s="1735"/>
      <c r="Q65" s="1730"/>
      <c r="R65" s="1688"/>
      <c r="S65" s="1688"/>
      <c r="T65" s="1688"/>
      <c r="AC65" s="1720"/>
      <c r="AE65" s="1718"/>
    </row>
    <row r="66" spans="1:31" ht="36" customHeight="1">
      <c r="C66" s="1746"/>
      <c r="D66" s="1722"/>
      <c r="E66" s="1707"/>
      <c r="F66" s="1707"/>
      <c r="G66" s="1737"/>
      <c r="H66" s="1709"/>
      <c r="I66" s="1708"/>
      <c r="J66" s="1711"/>
      <c r="K66" s="1693"/>
      <c r="L66" s="1693"/>
      <c r="M66" s="1693"/>
      <c r="N66" s="1730"/>
      <c r="P66" s="1735"/>
      <c r="Q66" s="1730"/>
      <c r="R66" s="1688"/>
      <c r="S66" s="1688"/>
      <c r="T66" s="1688"/>
      <c r="AC66" s="1720"/>
      <c r="AE66" s="1718"/>
    </row>
    <row r="67" spans="1:31" ht="15" customHeight="1">
      <c r="A67" s="936">
        <f>A39+1</f>
        <v>10</v>
      </c>
      <c r="B67" s="886">
        <f>B39+1</f>
        <v>9</v>
      </c>
      <c r="C67" s="306" t="s">
        <v>115</v>
      </c>
      <c r="D67" s="1205">
        <v>32</v>
      </c>
      <c r="E67" s="1205">
        <f t="shared" ref="E67:E72" si="23">2*D67</f>
        <v>64</v>
      </c>
      <c r="F67" s="1205">
        <f>2*37</f>
        <v>74</v>
      </c>
      <c r="G67" s="1209">
        <f t="shared" ref="G67:G72" si="24">F67*1.15</f>
        <v>85.1</v>
      </c>
      <c r="H67" s="583">
        <f>0.23*E67</f>
        <v>14.72</v>
      </c>
      <c r="I67" s="583">
        <f>0.5*(0.23*E67*1.1)</f>
        <v>8.0960000000000019</v>
      </c>
      <c r="J67" s="779">
        <f>(2*7.75)+23</f>
        <v>38.5</v>
      </c>
      <c r="K67" s="1205">
        <v>30</v>
      </c>
      <c r="L67" s="1208">
        <v>30</v>
      </c>
      <c r="M67" s="1205">
        <f>(2*71)+(2*L67)</f>
        <v>202</v>
      </c>
      <c r="N67" s="304">
        <f>(2*20)+23</f>
        <v>63</v>
      </c>
      <c r="P67" s="306" t="s">
        <v>76</v>
      </c>
      <c r="Q67" s="304">
        <f t="shared" ref="Q67:Q72" si="25">H67</f>
        <v>14.72</v>
      </c>
      <c r="R67" s="304">
        <f t="shared" ref="R67:R72" si="26">N67</f>
        <v>63</v>
      </c>
      <c r="S67" s="304">
        <f t="shared" ref="S67:S72" si="27">J67</f>
        <v>38.5</v>
      </c>
      <c r="T67" s="414">
        <f t="shared" ref="T67:T72" si="28">M67-G67</f>
        <v>116.9</v>
      </c>
      <c r="AC67" s="1147">
        <f>B67</f>
        <v>9</v>
      </c>
    </row>
    <row r="68" spans="1:31" ht="15" customHeight="1">
      <c r="A68" s="936">
        <f>A67+1</f>
        <v>11</v>
      </c>
      <c r="B68" s="886">
        <f>B67+1</f>
        <v>10</v>
      </c>
      <c r="C68" s="306" t="s">
        <v>116</v>
      </c>
      <c r="D68" s="1205">
        <v>36</v>
      </c>
      <c r="E68" s="1205">
        <f t="shared" si="23"/>
        <v>72</v>
      </c>
      <c r="F68" s="1205">
        <f>2*41</f>
        <v>82</v>
      </c>
      <c r="G68" s="1209">
        <f t="shared" si="24"/>
        <v>94.3</v>
      </c>
      <c r="H68" s="583">
        <f t="shared" ref="H68:H72" si="29">0.23*E68</f>
        <v>16.560000000000002</v>
      </c>
      <c r="I68" s="583">
        <f t="shared" ref="I68:I72" si="30">0.5*(0.23*E68*1.1)</f>
        <v>9.1080000000000023</v>
      </c>
      <c r="J68" s="779">
        <f>(2*7.75)+23</f>
        <v>38.5</v>
      </c>
      <c r="K68" s="1205">
        <v>33</v>
      </c>
      <c r="L68" s="1208">
        <f>49-16</f>
        <v>33</v>
      </c>
      <c r="M68" s="1205">
        <f t="shared" ref="M68:M72" si="31">(2*71)+(2*L68)</f>
        <v>208</v>
      </c>
      <c r="N68" s="304">
        <f>(2*21)+23</f>
        <v>65</v>
      </c>
      <c r="P68" s="306" t="s">
        <v>77</v>
      </c>
      <c r="Q68" s="304">
        <f t="shared" si="25"/>
        <v>16.560000000000002</v>
      </c>
      <c r="R68" s="304">
        <f t="shared" si="26"/>
        <v>65</v>
      </c>
      <c r="S68" s="304">
        <f t="shared" si="27"/>
        <v>38.5</v>
      </c>
      <c r="T68" s="414">
        <f t="shared" si="28"/>
        <v>113.7</v>
      </c>
      <c r="AC68" s="1147">
        <f t="shared" ref="AC68:AC72" si="32">B68</f>
        <v>10</v>
      </c>
    </row>
    <row r="69" spans="1:31" ht="15" customHeight="1">
      <c r="A69" s="936">
        <f t="shared" ref="A69:A72" si="33">A68+1</f>
        <v>12</v>
      </c>
      <c r="B69" s="886">
        <f>B68+1</f>
        <v>11</v>
      </c>
      <c r="C69" s="577" t="s">
        <v>704</v>
      </c>
      <c r="D69" s="1205">
        <v>62</v>
      </c>
      <c r="E69" s="1205">
        <f t="shared" si="23"/>
        <v>124</v>
      </c>
      <c r="F69" s="1205">
        <f>2*67</f>
        <v>134</v>
      </c>
      <c r="G69" s="1209">
        <f t="shared" si="24"/>
        <v>154.1</v>
      </c>
      <c r="H69" s="583">
        <f t="shared" si="29"/>
        <v>28.52</v>
      </c>
      <c r="I69" s="583">
        <f t="shared" si="30"/>
        <v>15.686000000000002</v>
      </c>
      <c r="J69" s="779">
        <f>2*10.75</f>
        <v>21.5</v>
      </c>
      <c r="K69" s="1205">
        <v>33</v>
      </c>
      <c r="L69" s="1205">
        <f>306-251</f>
        <v>55</v>
      </c>
      <c r="M69" s="1205">
        <f t="shared" si="31"/>
        <v>252</v>
      </c>
      <c r="N69" s="304">
        <f>(2*34)+23</f>
        <v>91</v>
      </c>
      <c r="P69" s="306" t="s">
        <v>78</v>
      </c>
      <c r="Q69" s="304">
        <f t="shared" si="25"/>
        <v>28.52</v>
      </c>
      <c r="R69" s="304">
        <f t="shared" si="26"/>
        <v>91</v>
      </c>
      <c r="S69" s="304">
        <f t="shared" si="27"/>
        <v>21.5</v>
      </c>
      <c r="T69" s="414">
        <f t="shared" si="28"/>
        <v>97.9</v>
      </c>
      <c r="AC69" s="1147">
        <f t="shared" si="32"/>
        <v>11</v>
      </c>
    </row>
    <row r="70" spans="1:31" ht="15" customHeight="1">
      <c r="A70" s="936">
        <f t="shared" si="33"/>
        <v>13</v>
      </c>
      <c r="B70" s="886">
        <f>B69+1</f>
        <v>12</v>
      </c>
      <c r="C70" s="577" t="s">
        <v>705</v>
      </c>
      <c r="D70" s="1205">
        <v>33</v>
      </c>
      <c r="E70" s="1205">
        <f t="shared" si="23"/>
        <v>66</v>
      </c>
      <c r="F70" s="1205">
        <f>2*41</f>
        <v>82</v>
      </c>
      <c r="G70" s="1209">
        <f t="shared" si="24"/>
        <v>94.3</v>
      </c>
      <c r="H70" s="583">
        <f t="shared" si="29"/>
        <v>15.180000000000001</v>
      </c>
      <c r="I70" s="583">
        <f t="shared" si="30"/>
        <v>8.349000000000002</v>
      </c>
      <c r="J70" s="779">
        <f>2*5</f>
        <v>10</v>
      </c>
      <c r="K70" s="1205">
        <v>44</v>
      </c>
      <c r="L70" s="1205">
        <f>160-140</f>
        <v>20</v>
      </c>
      <c r="M70" s="1205">
        <f t="shared" si="31"/>
        <v>182</v>
      </c>
      <c r="N70" s="304">
        <f>(2*42)+23</f>
        <v>107</v>
      </c>
      <c r="P70" s="577" t="s">
        <v>821</v>
      </c>
      <c r="Q70" s="304">
        <f t="shared" si="25"/>
        <v>15.180000000000001</v>
      </c>
      <c r="R70" s="304">
        <f t="shared" si="26"/>
        <v>107</v>
      </c>
      <c r="S70" s="304">
        <f t="shared" si="27"/>
        <v>10</v>
      </c>
      <c r="T70" s="414">
        <f t="shared" si="28"/>
        <v>87.7</v>
      </c>
      <c r="AC70" s="1147">
        <f t="shared" si="32"/>
        <v>12</v>
      </c>
    </row>
    <row r="71" spans="1:31" ht="15" customHeight="1">
      <c r="A71" s="936">
        <f t="shared" si="33"/>
        <v>14</v>
      </c>
      <c r="B71" s="886">
        <f>B70+1</f>
        <v>13</v>
      </c>
      <c r="C71" s="306" t="s">
        <v>118</v>
      </c>
      <c r="D71" s="1205">
        <v>48</v>
      </c>
      <c r="E71" s="1205">
        <f t="shared" si="23"/>
        <v>96</v>
      </c>
      <c r="F71" s="1205">
        <f>2*62</f>
        <v>124</v>
      </c>
      <c r="G71" s="1209">
        <f t="shared" si="24"/>
        <v>142.6</v>
      </c>
      <c r="H71" s="583">
        <f t="shared" si="29"/>
        <v>22.080000000000002</v>
      </c>
      <c r="I71" s="583">
        <f t="shared" si="30"/>
        <v>12.144000000000002</v>
      </c>
      <c r="J71" s="779">
        <f>2*9.75</f>
        <v>19.5</v>
      </c>
      <c r="K71" s="1205">
        <v>48</v>
      </c>
      <c r="L71" s="1205">
        <v>49</v>
      </c>
      <c r="M71" s="1205">
        <f t="shared" si="31"/>
        <v>240</v>
      </c>
      <c r="N71" s="304">
        <f>(2*24)+23</f>
        <v>71</v>
      </c>
      <c r="P71" s="577" t="s">
        <v>820</v>
      </c>
      <c r="Q71" s="304">
        <f t="shared" si="25"/>
        <v>22.080000000000002</v>
      </c>
      <c r="R71" s="304">
        <f t="shared" si="26"/>
        <v>71</v>
      </c>
      <c r="S71" s="304">
        <f t="shared" si="27"/>
        <v>19.5</v>
      </c>
      <c r="T71" s="414">
        <f t="shared" si="28"/>
        <v>97.4</v>
      </c>
      <c r="AC71" s="1147">
        <f t="shared" si="32"/>
        <v>13</v>
      </c>
    </row>
    <row r="72" spans="1:31" ht="15" customHeight="1">
      <c r="A72" s="936">
        <f t="shared" si="33"/>
        <v>15</v>
      </c>
      <c r="B72" s="886">
        <f>B71+1</f>
        <v>14</v>
      </c>
      <c r="C72" s="306" t="s">
        <v>119</v>
      </c>
      <c r="D72" s="1205">
        <v>50</v>
      </c>
      <c r="E72" s="1205">
        <f t="shared" si="23"/>
        <v>100</v>
      </c>
      <c r="F72" s="1205">
        <f>2*47</f>
        <v>94</v>
      </c>
      <c r="G72" s="1209">
        <f t="shared" si="24"/>
        <v>108.1</v>
      </c>
      <c r="H72" s="583">
        <f t="shared" si="29"/>
        <v>23</v>
      </c>
      <c r="I72" s="583">
        <f t="shared" si="30"/>
        <v>12.65</v>
      </c>
      <c r="J72" s="779">
        <f>2*12.5</f>
        <v>25</v>
      </c>
      <c r="K72" s="1205">
        <v>51</v>
      </c>
      <c r="L72" s="1205">
        <f>160-141</f>
        <v>19</v>
      </c>
      <c r="M72" s="1205">
        <f t="shared" si="31"/>
        <v>180</v>
      </c>
      <c r="N72" s="304">
        <f>(2*34)+23</f>
        <v>91</v>
      </c>
      <c r="P72" s="577" t="s">
        <v>819</v>
      </c>
      <c r="Q72" s="304">
        <f t="shared" si="25"/>
        <v>23</v>
      </c>
      <c r="R72" s="304">
        <f t="shared" si="26"/>
        <v>91</v>
      </c>
      <c r="S72" s="304">
        <f t="shared" si="27"/>
        <v>25</v>
      </c>
      <c r="T72" s="414">
        <f t="shared" si="28"/>
        <v>71.900000000000006</v>
      </c>
      <c r="AC72" s="1147">
        <f t="shared" si="32"/>
        <v>14</v>
      </c>
    </row>
    <row r="73" spans="1:31" ht="15" customHeight="1">
      <c r="C73" s="1747"/>
      <c r="D73" s="1699" t="s">
        <v>843</v>
      </c>
      <c r="E73" s="1700"/>
      <c r="F73" s="1697" t="s">
        <v>844</v>
      </c>
      <c r="G73" s="1697" t="s">
        <v>845</v>
      </c>
      <c r="H73" s="1686" t="s">
        <v>190</v>
      </c>
      <c r="I73" s="1686" t="s">
        <v>193</v>
      </c>
      <c r="J73" s="1680" t="s">
        <v>846</v>
      </c>
      <c r="K73" s="1698" t="s">
        <v>847</v>
      </c>
      <c r="L73" s="1740" t="s">
        <v>188</v>
      </c>
      <c r="M73" s="1695" t="s">
        <v>848</v>
      </c>
      <c r="N73" s="1686" t="s">
        <v>849</v>
      </c>
      <c r="P73" s="1753" t="s">
        <v>105</v>
      </c>
    </row>
    <row r="74" spans="1:31">
      <c r="C74" s="1748"/>
      <c r="D74" s="1700"/>
      <c r="E74" s="1700"/>
      <c r="F74" s="1688"/>
      <c r="G74" s="1688"/>
      <c r="H74" s="1693"/>
      <c r="I74" s="1694"/>
      <c r="J74" s="1681"/>
      <c r="K74" s="1694"/>
      <c r="L74" s="1737"/>
      <c r="M74" s="1696"/>
      <c r="N74" s="1687"/>
      <c r="P74" s="1736"/>
    </row>
    <row r="75" spans="1:31">
      <c r="C75" s="1748"/>
      <c r="D75" s="1700"/>
      <c r="E75" s="1700"/>
      <c r="F75" s="1688"/>
      <c r="G75" s="1688"/>
      <c r="H75" s="1693"/>
      <c r="I75" s="1694"/>
      <c r="J75" s="1681"/>
      <c r="K75" s="1694"/>
      <c r="L75" s="1737"/>
      <c r="M75" s="1696"/>
      <c r="N75" s="1687"/>
      <c r="P75" s="1736"/>
    </row>
    <row r="76" spans="1:31" ht="14" customHeight="1">
      <c r="C76" s="1748"/>
      <c r="D76" s="1700"/>
      <c r="E76" s="1700"/>
      <c r="F76" s="1688"/>
      <c r="G76" s="1688"/>
      <c r="H76" s="1693"/>
      <c r="I76" s="1694"/>
      <c r="J76" s="1681"/>
      <c r="K76" s="1694"/>
      <c r="L76" s="1737"/>
      <c r="M76" s="1696"/>
      <c r="N76" s="1687"/>
      <c r="P76" s="1736"/>
    </row>
    <row r="77" spans="1:31" ht="15" customHeight="1">
      <c r="C77" s="1748"/>
      <c r="F77" s="1688"/>
      <c r="G77" s="1688"/>
      <c r="H77" s="1693"/>
      <c r="I77" s="1694"/>
      <c r="J77" s="1681"/>
      <c r="K77" s="1694"/>
      <c r="L77" s="1737"/>
      <c r="M77" s="1696"/>
      <c r="N77" s="1687"/>
      <c r="P77" s="1736"/>
    </row>
    <row r="78" spans="1:31">
      <c r="C78" s="1748"/>
      <c r="F78" s="1688"/>
      <c r="G78" s="1688"/>
      <c r="H78" s="1693"/>
      <c r="I78" s="1694"/>
      <c r="J78" s="1681"/>
      <c r="K78" s="1694"/>
      <c r="L78" s="1737"/>
      <c r="M78" s="1696"/>
      <c r="N78" s="1687"/>
      <c r="P78" s="1736"/>
      <c r="T78" s="509" t="s">
        <v>105</v>
      </c>
    </row>
    <row r="79" spans="1:31" ht="41.25" customHeight="1">
      <c r="C79" s="1748"/>
      <c r="F79" s="1688"/>
      <c r="G79" s="1688"/>
      <c r="H79" s="1693"/>
      <c r="I79" s="1694"/>
      <c r="J79" s="1681"/>
      <c r="K79" s="1694"/>
      <c r="L79" s="1737"/>
      <c r="M79" s="1696"/>
      <c r="N79" s="1687"/>
      <c r="P79" s="1736"/>
    </row>
    <row r="80" spans="1:31" ht="15" customHeight="1">
      <c r="C80" s="1748"/>
      <c r="F80" s="1688"/>
      <c r="G80" s="1688"/>
      <c r="H80" s="1693"/>
      <c r="I80" s="1694"/>
      <c r="J80" s="1681"/>
      <c r="K80" s="1694"/>
      <c r="L80" s="1737"/>
      <c r="M80" s="1696"/>
      <c r="N80" s="1687"/>
      <c r="P80" s="354"/>
      <c r="U80" s="509" t="s">
        <v>105</v>
      </c>
    </row>
    <row r="81" spans="2:29" ht="15" customHeight="1">
      <c r="C81" s="1748"/>
      <c r="F81" s="1688"/>
      <c r="G81" s="1688"/>
      <c r="H81" s="1693"/>
      <c r="I81" s="1694"/>
      <c r="J81" s="1681"/>
      <c r="K81" s="1694"/>
      <c r="L81" s="21"/>
      <c r="M81" s="1696"/>
      <c r="N81" s="1687"/>
    </row>
    <row r="82" spans="2:29">
      <c r="C82" s="1748"/>
      <c r="F82" s="1688"/>
      <c r="G82" s="1688"/>
      <c r="H82" s="1693"/>
      <c r="I82" s="1694"/>
      <c r="J82" s="1681"/>
      <c r="K82" s="1694"/>
      <c r="L82" s="21"/>
      <c r="M82" s="1696"/>
      <c r="N82" s="1687"/>
    </row>
    <row r="83" spans="2:29">
      <c r="C83" s="1748"/>
      <c r="F83" s="1688"/>
      <c r="G83" s="1688"/>
      <c r="H83" s="1693"/>
      <c r="I83" s="1694"/>
      <c r="J83" s="1681"/>
      <c r="K83" s="1694"/>
      <c r="M83" s="1696"/>
      <c r="N83" s="1687"/>
      <c r="W83" s="14" t="s">
        <v>105</v>
      </c>
    </row>
    <row r="84" spans="2:29">
      <c r="C84" s="1748"/>
      <c r="G84" s="1688"/>
      <c r="H84" s="1693"/>
      <c r="I84" s="1694"/>
      <c r="J84" s="1681"/>
      <c r="M84" s="1687"/>
      <c r="N84" s="1688"/>
    </row>
    <row r="85" spans="2:29">
      <c r="C85" s="1748"/>
      <c r="G85" s="1688"/>
      <c r="H85" s="1693"/>
      <c r="I85" s="1694"/>
      <c r="J85" s="1681"/>
      <c r="M85" s="1687"/>
      <c r="N85" s="1688"/>
    </row>
    <row r="86" spans="2:29">
      <c r="C86" s="1748"/>
      <c r="G86" s="1688"/>
      <c r="H86" s="1693"/>
      <c r="I86" s="1694"/>
      <c r="J86" s="1681"/>
      <c r="M86" s="1687"/>
      <c r="N86" s="1688"/>
    </row>
    <row r="87" spans="2:29">
      <c r="C87" s="1748"/>
      <c r="G87" s="1688"/>
      <c r="H87" s="1693"/>
      <c r="I87" s="1694"/>
      <c r="J87" s="1681"/>
      <c r="M87" s="1687"/>
      <c r="N87" s="1688"/>
    </row>
    <row r="88" spans="2:29">
      <c r="C88" s="1748"/>
      <c r="G88" s="1688"/>
      <c r="H88" s="1693"/>
      <c r="I88" s="1694"/>
      <c r="J88" s="1681"/>
      <c r="M88" s="1687"/>
      <c r="N88" s="1688"/>
    </row>
    <row r="89" spans="2:29" ht="72" customHeight="1">
      <c r="C89" s="1748"/>
      <c r="G89" s="1688"/>
      <c r="H89" s="1693"/>
      <c r="I89" s="1694"/>
      <c r="J89" s="1681"/>
      <c r="M89" s="1687"/>
      <c r="N89" s="1688"/>
    </row>
    <row r="90" spans="2:29" ht="15" customHeight="1">
      <c r="T90" s="509" t="s">
        <v>105</v>
      </c>
    </row>
    <row r="91" spans="2:29" ht="15" customHeight="1">
      <c r="C91" s="339"/>
      <c r="D91" s="302"/>
      <c r="E91" s="302"/>
      <c r="F91" s="302"/>
      <c r="G91" s="302"/>
      <c r="H91" s="590"/>
      <c r="I91" s="590"/>
      <c r="J91" s="595"/>
      <c r="K91" s="302"/>
      <c r="L91" s="302"/>
      <c r="M91" s="302"/>
      <c r="N91" s="302"/>
      <c r="U91" s="509" t="s">
        <v>105</v>
      </c>
    </row>
    <row r="92" spans="2:29" s="1219" customFormat="1" ht="30" customHeight="1">
      <c r="B92" s="1216" t="s">
        <v>99</v>
      </c>
      <c r="C92" s="1217" t="s">
        <v>35</v>
      </c>
      <c r="D92" s="1690" t="s">
        <v>168</v>
      </c>
      <c r="E92" s="1691"/>
      <c r="F92" s="1691"/>
      <c r="G92" s="1691"/>
      <c r="H92" s="1692"/>
      <c r="I92" s="1682" t="s">
        <v>28</v>
      </c>
      <c r="J92" s="1683"/>
      <c r="K92" s="1684" t="s">
        <v>32</v>
      </c>
      <c r="L92" s="1685"/>
      <c r="M92" s="1685"/>
      <c r="N92" s="1685"/>
      <c r="O92" s="1218"/>
    </row>
    <row r="93" spans="2:29" ht="15" customHeight="1">
      <c r="C93" s="505"/>
      <c r="D93" s="873">
        <v>1</v>
      </c>
      <c r="E93" s="873">
        <f>D93+1</f>
        <v>2</v>
      </c>
      <c r="F93" s="873">
        <f>E93+1</f>
        <v>3</v>
      </c>
      <c r="G93" s="873">
        <f>F93+1</f>
        <v>4</v>
      </c>
      <c r="H93" s="873">
        <f t="shared" ref="H93" si="34">G93+1</f>
        <v>5</v>
      </c>
      <c r="I93" s="873">
        <f t="shared" ref="I93" si="35">H93+1</f>
        <v>6</v>
      </c>
      <c r="J93" s="873">
        <f t="shared" ref="J93" si="36">I93+1</f>
        <v>7</v>
      </c>
      <c r="K93" s="873">
        <f t="shared" ref="K93" si="37">J93+1</f>
        <v>8</v>
      </c>
      <c r="L93" s="873">
        <f t="shared" ref="L93" si="38">K93+1</f>
        <v>9</v>
      </c>
      <c r="M93" s="873">
        <f t="shared" ref="M93" si="39">L93+1</f>
        <v>10</v>
      </c>
      <c r="N93" s="873">
        <f t="shared" ref="N93" si="40">M93+1</f>
        <v>11</v>
      </c>
    </row>
    <row r="94" spans="2:29" ht="15" customHeight="1">
      <c r="C94" s="1742" t="s">
        <v>232</v>
      </c>
      <c r="D94" s="1706" t="s">
        <v>220</v>
      </c>
      <c r="E94" s="1706" t="s">
        <v>221</v>
      </c>
      <c r="F94" s="1706" t="s">
        <v>233</v>
      </c>
      <c r="G94" s="1706" t="s">
        <v>239</v>
      </c>
      <c r="H94" s="1708" t="s">
        <v>224</v>
      </c>
      <c r="I94" s="1708" t="s">
        <v>240</v>
      </c>
      <c r="J94" s="1710" t="s">
        <v>235</v>
      </c>
      <c r="K94" s="1706" t="s">
        <v>227</v>
      </c>
      <c r="L94" s="1706" t="s">
        <v>241</v>
      </c>
      <c r="M94" s="1706" t="s">
        <v>229</v>
      </c>
      <c r="N94" s="1733" t="s">
        <v>230</v>
      </c>
      <c r="P94" s="1743" t="s">
        <v>643</v>
      </c>
      <c r="Q94" s="1716" t="s">
        <v>625</v>
      </c>
      <c r="R94" s="1731" t="s">
        <v>236</v>
      </c>
      <c r="S94" s="1731" t="s">
        <v>237</v>
      </c>
      <c r="T94" s="1726" t="s">
        <v>811</v>
      </c>
      <c r="AC94" s="1675" t="s">
        <v>814</v>
      </c>
    </row>
    <row r="95" spans="2:29" ht="15" customHeight="1">
      <c r="C95" s="1742"/>
      <c r="D95" s="1734"/>
      <c r="E95" s="1706"/>
      <c r="F95" s="1734"/>
      <c r="G95" s="1734"/>
      <c r="H95" s="1709"/>
      <c r="I95" s="1708"/>
      <c r="J95" s="1745"/>
      <c r="K95" s="1706"/>
      <c r="L95" s="1734"/>
      <c r="M95" s="1734"/>
      <c r="N95" s="1733"/>
      <c r="P95" s="1744"/>
      <c r="Q95" s="1730"/>
      <c r="R95" s="1732"/>
      <c r="S95" s="1732"/>
      <c r="T95" s="1727"/>
      <c r="AC95" s="1676"/>
    </row>
    <row r="96" spans="2:29">
      <c r="C96" s="1742"/>
      <c r="D96" s="1734"/>
      <c r="E96" s="1706"/>
      <c r="F96" s="1734"/>
      <c r="G96" s="1734"/>
      <c r="H96" s="1709"/>
      <c r="I96" s="1708"/>
      <c r="J96" s="1745"/>
      <c r="K96" s="1706"/>
      <c r="L96" s="1734"/>
      <c r="M96" s="1734"/>
      <c r="N96" s="1733"/>
      <c r="P96" s="1744"/>
      <c r="Q96" s="1730"/>
      <c r="R96" s="1732"/>
      <c r="S96" s="1732"/>
      <c r="T96" s="1727"/>
      <c r="AC96" s="1676"/>
    </row>
    <row r="97" spans="1:29">
      <c r="C97" s="1742"/>
      <c r="D97" s="1734"/>
      <c r="E97" s="1706"/>
      <c r="F97" s="1734"/>
      <c r="G97" s="1734"/>
      <c r="H97" s="1709"/>
      <c r="I97" s="1708"/>
      <c r="J97" s="1745"/>
      <c r="K97" s="1706"/>
      <c r="L97" s="1734"/>
      <c r="M97" s="1734"/>
      <c r="N97" s="1733"/>
      <c r="P97" s="1744"/>
      <c r="Q97" s="1730"/>
      <c r="R97" s="1732"/>
      <c r="S97" s="1732"/>
      <c r="T97" s="1727"/>
      <c r="AC97" s="1676"/>
    </row>
    <row r="98" spans="1:29" ht="74" customHeight="1">
      <c r="C98" s="1742"/>
      <c r="D98" s="1734"/>
      <c r="E98" s="1706"/>
      <c r="F98" s="1734"/>
      <c r="G98" s="1734"/>
      <c r="H98" s="1709"/>
      <c r="I98" s="1708"/>
      <c r="J98" s="1745"/>
      <c r="K98" s="1706"/>
      <c r="L98" s="1734"/>
      <c r="M98" s="1734"/>
      <c r="N98" s="1733"/>
      <c r="P98" s="1744"/>
      <c r="Q98" s="1730"/>
      <c r="R98" s="1732"/>
      <c r="S98" s="1732"/>
      <c r="T98" s="1727"/>
      <c r="AB98" s="1138"/>
      <c r="AC98" s="1676"/>
    </row>
    <row r="99" spans="1:29">
      <c r="B99" s="143" t="s">
        <v>84</v>
      </c>
      <c r="C99" s="310" t="s">
        <v>79</v>
      </c>
      <c r="D99" s="1210">
        <v>80</v>
      </c>
      <c r="E99" s="1210">
        <f>2*D99</f>
        <v>160</v>
      </c>
      <c r="F99" s="1210">
        <f>2*86</f>
        <v>172</v>
      </c>
      <c r="G99" s="1211">
        <f>F99*1.15</f>
        <v>197.79999999999998</v>
      </c>
      <c r="H99" s="997">
        <f>0.23*E99</f>
        <v>36.800000000000004</v>
      </c>
      <c r="I99" s="998">
        <f>0.5*(0.23*E99)</f>
        <v>18.400000000000002</v>
      </c>
      <c r="J99" s="870">
        <f>(2*13.75)</f>
        <v>27.5</v>
      </c>
      <c r="K99" s="410">
        <v>78</v>
      </c>
      <c r="L99" s="410">
        <v>82</v>
      </c>
      <c r="M99" s="410">
        <f>(2*L99)+(2*71)</f>
        <v>306</v>
      </c>
      <c r="N99" s="1000">
        <f>(2*26)+23</f>
        <v>75</v>
      </c>
      <c r="P99" s="49" t="s">
        <v>708</v>
      </c>
      <c r="Q99" s="307">
        <f>H99</f>
        <v>36.800000000000004</v>
      </c>
      <c r="R99" s="308">
        <f>N99</f>
        <v>75</v>
      </c>
      <c r="S99" s="308">
        <f>J99</f>
        <v>27.5</v>
      </c>
      <c r="T99" s="414">
        <f t="shared" ref="T99:T103" si="41">M99-G99</f>
        <v>108.20000000000002</v>
      </c>
      <c r="AC99" s="199" t="str">
        <f>B99</f>
        <v>#1 above</v>
      </c>
    </row>
    <row r="100" spans="1:29">
      <c r="B100" s="143" t="s">
        <v>85</v>
      </c>
      <c r="C100" s="306" t="s">
        <v>80</v>
      </c>
      <c r="D100" s="1210">
        <v>91</v>
      </c>
      <c r="E100" s="1211">
        <f>D100*2</f>
        <v>182</v>
      </c>
      <c r="F100" s="1212">
        <f>(2*94)</f>
        <v>188</v>
      </c>
      <c r="G100" s="1211">
        <f>F100*1.15</f>
        <v>216.2</v>
      </c>
      <c r="H100" s="997">
        <f t="shared" ref="H100" si="42">0.23*E100</f>
        <v>41.86</v>
      </c>
      <c r="I100" s="998">
        <f t="shared" ref="I100:I103" si="43">0.5*(0.23*E100)</f>
        <v>20.93</v>
      </c>
      <c r="J100" s="870">
        <f>(2*18.5)</f>
        <v>37</v>
      </c>
      <c r="K100" s="416">
        <f>493-409</f>
        <v>84</v>
      </c>
      <c r="L100" s="999">
        <f>(306-227)</f>
        <v>79</v>
      </c>
      <c r="M100" s="410">
        <f>(2*L100)+(2*71)</f>
        <v>300</v>
      </c>
      <c r="N100" s="1001">
        <f>(2*38)+23</f>
        <v>99</v>
      </c>
      <c r="P100" s="306" t="s">
        <v>87</v>
      </c>
      <c r="Q100" s="307">
        <f>H100</f>
        <v>41.86</v>
      </c>
      <c r="R100" s="308">
        <f>N100</f>
        <v>99</v>
      </c>
      <c r="S100" s="308">
        <f>J100</f>
        <v>37</v>
      </c>
      <c r="T100" s="414">
        <f t="shared" si="41"/>
        <v>83.800000000000011</v>
      </c>
      <c r="AC100" s="199" t="str">
        <f t="shared" ref="AC100:AC103" si="44">B100</f>
        <v>#2 above</v>
      </c>
    </row>
    <row r="101" spans="1:29">
      <c r="A101" s="936">
        <f>A72+1</f>
        <v>16</v>
      </c>
      <c r="B101" s="886">
        <f>B72+1</f>
        <v>15</v>
      </c>
      <c r="C101" s="311" t="s">
        <v>81</v>
      </c>
      <c r="D101" s="1213">
        <v>110</v>
      </c>
      <c r="E101" s="1214">
        <f>D101*2</f>
        <v>220</v>
      </c>
      <c r="F101" s="1213">
        <f>2*96</f>
        <v>192</v>
      </c>
      <c r="G101" s="1215">
        <f>1.15*F101</f>
        <v>220.79999999999998</v>
      </c>
      <c r="H101" s="583">
        <f>0.23*E101</f>
        <v>50.6</v>
      </c>
      <c r="I101" s="998">
        <f t="shared" si="43"/>
        <v>25.3</v>
      </c>
      <c r="J101" s="871">
        <f>(2*18.5)+23</f>
        <v>60</v>
      </c>
      <c r="K101" s="201">
        <v>107</v>
      </c>
      <c r="L101" s="201">
        <f>167-120</f>
        <v>47</v>
      </c>
      <c r="M101" s="201">
        <f>2*(L101+71)</f>
        <v>236</v>
      </c>
      <c r="N101" s="238">
        <f>(2*59)+23</f>
        <v>141</v>
      </c>
      <c r="P101" s="311" t="s">
        <v>83</v>
      </c>
      <c r="Q101" s="307">
        <f>H101</f>
        <v>50.6</v>
      </c>
      <c r="R101" s="308">
        <f>N101</f>
        <v>141</v>
      </c>
      <c r="S101" s="308">
        <f>J101</f>
        <v>60</v>
      </c>
      <c r="T101" s="414">
        <f t="shared" si="41"/>
        <v>15.200000000000017</v>
      </c>
      <c r="AC101" s="1145">
        <f t="shared" si="44"/>
        <v>15</v>
      </c>
    </row>
    <row r="102" spans="1:29">
      <c r="A102" s="936">
        <f>A101+1</f>
        <v>17</v>
      </c>
      <c r="B102" s="886">
        <f>B101+1</f>
        <v>16</v>
      </c>
      <c r="C102" s="67" t="s">
        <v>706</v>
      </c>
      <c r="D102" s="1213">
        <v>88</v>
      </c>
      <c r="E102" s="1214">
        <f>D102*2</f>
        <v>176</v>
      </c>
      <c r="F102" s="1213">
        <f>2*87</f>
        <v>174</v>
      </c>
      <c r="G102" s="1215">
        <f>1.15*F102</f>
        <v>200.1</v>
      </c>
      <c r="H102" s="583">
        <f>0.23*E102</f>
        <v>40.480000000000004</v>
      </c>
      <c r="I102" s="998">
        <f t="shared" si="43"/>
        <v>20.240000000000002</v>
      </c>
      <c r="J102" s="871">
        <f>(2*18.5)+23</f>
        <v>60</v>
      </c>
      <c r="K102" s="201">
        <v>103</v>
      </c>
      <c r="L102" s="201">
        <v>53</v>
      </c>
      <c r="M102" s="201">
        <f>2*(L102+71)</f>
        <v>248</v>
      </c>
      <c r="N102" s="238">
        <f>(2*55)+23</f>
        <v>133</v>
      </c>
      <c r="P102" s="311" t="s">
        <v>23</v>
      </c>
      <c r="Q102" s="307">
        <f>H102</f>
        <v>40.480000000000004</v>
      </c>
      <c r="R102" s="308">
        <f>N102</f>
        <v>133</v>
      </c>
      <c r="S102" s="308">
        <f>J102</f>
        <v>60</v>
      </c>
      <c r="T102" s="414">
        <f t="shared" si="41"/>
        <v>47.900000000000006</v>
      </c>
      <c r="AC102" s="1145">
        <f t="shared" si="44"/>
        <v>16</v>
      </c>
    </row>
    <row r="103" spans="1:29">
      <c r="B103" s="143" t="s">
        <v>86</v>
      </c>
      <c r="C103" s="311" t="s">
        <v>82</v>
      </c>
      <c r="D103" s="1213">
        <v>164</v>
      </c>
      <c r="E103" s="1214">
        <f>D103*2</f>
        <v>328</v>
      </c>
      <c r="F103" s="1213">
        <f>(2*150)</f>
        <v>300</v>
      </c>
      <c r="G103" s="1215">
        <f>1.15*F103</f>
        <v>345</v>
      </c>
      <c r="H103" s="583">
        <f>0.23*E103</f>
        <v>75.44</v>
      </c>
      <c r="I103" s="998">
        <f t="shared" si="43"/>
        <v>37.72</v>
      </c>
      <c r="J103" s="871">
        <f>(2*22)+23</f>
        <v>67</v>
      </c>
      <c r="K103" s="201">
        <f>(306-199)+(59)</f>
        <v>166</v>
      </c>
      <c r="L103" s="201">
        <v>86</v>
      </c>
      <c r="M103" s="201">
        <f>2*(L103+71)</f>
        <v>314</v>
      </c>
      <c r="N103" s="238">
        <f>(2*70)+23</f>
        <v>163</v>
      </c>
      <c r="P103" s="311" t="s">
        <v>88</v>
      </c>
      <c r="Q103" s="307">
        <f>H103</f>
        <v>75.44</v>
      </c>
      <c r="R103" s="308">
        <f>N103</f>
        <v>163</v>
      </c>
      <c r="S103" s="308">
        <f>J103</f>
        <v>67</v>
      </c>
      <c r="T103" s="414">
        <f t="shared" si="41"/>
        <v>-31</v>
      </c>
      <c r="AC103" s="199" t="str">
        <f t="shared" si="44"/>
        <v>#3 above</v>
      </c>
    </row>
    <row r="104" spans="1:29" ht="15" customHeight="1">
      <c r="C104" s="1747"/>
      <c r="D104" s="1699" t="s">
        <v>1158</v>
      </c>
      <c r="E104" s="1754"/>
      <c r="F104" s="1697" t="s">
        <v>844</v>
      </c>
      <c r="G104" s="1697" t="s">
        <v>845</v>
      </c>
      <c r="H104" s="1686" t="s">
        <v>190</v>
      </c>
      <c r="I104" s="1686"/>
      <c r="J104" s="1680" t="s">
        <v>846</v>
      </c>
      <c r="K104" s="1698" t="s">
        <v>847</v>
      </c>
      <c r="L104" s="1740" t="s">
        <v>188</v>
      </c>
      <c r="M104" s="1695" t="s">
        <v>848</v>
      </c>
      <c r="N104" s="1686" t="s">
        <v>849</v>
      </c>
      <c r="P104" s="1736"/>
    </row>
    <row r="105" spans="1:29">
      <c r="C105" s="1747"/>
      <c r="D105" s="1754"/>
      <c r="E105" s="1754"/>
      <c r="F105" s="1688"/>
      <c r="G105" s="1688"/>
      <c r="H105" s="1693"/>
      <c r="I105" s="1694"/>
      <c r="J105" s="1681"/>
      <c r="K105" s="1694"/>
      <c r="L105" s="1737"/>
      <c r="M105" s="1696"/>
      <c r="N105" s="1687"/>
      <c r="P105" s="1736"/>
    </row>
    <row r="106" spans="1:29">
      <c r="C106" s="1747"/>
      <c r="D106" s="1754"/>
      <c r="E106" s="1754"/>
      <c r="F106" s="1688"/>
      <c r="G106" s="1688"/>
      <c r="H106" s="1693"/>
      <c r="I106" s="1694"/>
      <c r="J106" s="1681"/>
      <c r="K106" s="1694"/>
      <c r="L106" s="1737"/>
      <c r="M106" s="1696"/>
      <c r="N106" s="1687"/>
      <c r="P106" s="1736"/>
    </row>
    <row r="107" spans="1:29" ht="14" customHeight="1">
      <c r="C107" s="1747"/>
      <c r="D107" s="1754"/>
      <c r="E107" s="1754"/>
      <c r="F107" s="1688"/>
      <c r="G107" s="1688"/>
      <c r="H107" s="1693"/>
      <c r="I107" s="1694"/>
      <c r="J107" s="1681"/>
      <c r="K107" s="1694"/>
      <c r="L107" s="1737"/>
      <c r="M107" s="1696"/>
      <c r="N107" s="1687"/>
      <c r="P107" s="1736"/>
    </row>
    <row r="108" spans="1:29" ht="15" customHeight="1">
      <c r="C108" s="1747"/>
      <c r="F108" s="1688"/>
      <c r="G108" s="1688"/>
      <c r="H108" s="1693"/>
      <c r="I108" s="1694"/>
      <c r="J108" s="1681"/>
      <c r="K108" s="1694"/>
      <c r="L108" s="1737"/>
      <c r="M108" s="1696"/>
      <c r="N108" s="1687"/>
      <c r="P108" s="1736"/>
    </row>
    <row r="109" spans="1:29">
      <c r="C109" s="1747"/>
      <c r="F109" s="1688"/>
      <c r="G109" s="1688"/>
      <c r="H109" s="1693"/>
      <c r="I109" s="1694"/>
      <c r="J109" s="1681"/>
      <c r="K109" s="1694"/>
      <c r="L109" s="1737"/>
      <c r="M109" s="1696"/>
      <c r="N109" s="1687"/>
      <c r="P109" s="1736"/>
      <c r="T109" s="509" t="s">
        <v>105</v>
      </c>
    </row>
    <row r="110" spans="1:29" ht="41.25" customHeight="1">
      <c r="C110" s="1747"/>
      <c r="F110" s="1688"/>
      <c r="G110" s="1688"/>
      <c r="H110" s="1693"/>
      <c r="I110" s="1694"/>
      <c r="J110" s="1681"/>
      <c r="K110" s="1694"/>
      <c r="L110" s="1737"/>
      <c r="M110" s="1696"/>
      <c r="N110" s="1687"/>
      <c r="P110" s="1736"/>
    </row>
    <row r="111" spans="1:29" ht="15" customHeight="1">
      <c r="C111" s="1747"/>
      <c r="F111" s="1688"/>
      <c r="G111" s="1688"/>
      <c r="H111" s="1693"/>
      <c r="I111" s="1694"/>
      <c r="J111" s="1681"/>
      <c r="K111" s="1694"/>
      <c r="L111" s="1737"/>
      <c r="M111" s="1696"/>
      <c r="N111" s="1687"/>
      <c r="P111" s="354"/>
      <c r="U111" s="509" t="s">
        <v>105</v>
      </c>
    </row>
    <row r="112" spans="1:29" ht="15" customHeight="1">
      <c r="C112" s="1747"/>
      <c r="F112" s="1688"/>
      <c r="G112" s="1688"/>
      <c r="H112" s="1693"/>
      <c r="I112" s="1694"/>
      <c r="J112" s="1681"/>
      <c r="K112" s="1694"/>
      <c r="L112" s="21"/>
      <c r="M112" s="1696"/>
      <c r="N112" s="1687"/>
    </row>
    <row r="113" spans="3:23">
      <c r="C113" s="1747"/>
      <c r="F113" s="1688"/>
      <c r="G113" s="1688"/>
      <c r="H113" s="1693"/>
      <c r="I113" s="1694"/>
      <c r="J113" s="1681"/>
      <c r="K113" s="1694"/>
      <c r="L113" s="21"/>
      <c r="M113" s="1696"/>
      <c r="N113" s="1687"/>
    </row>
    <row r="114" spans="3:23">
      <c r="C114" s="1747"/>
      <c r="F114" s="1688"/>
      <c r="G114" s="1688"/>
      <c r="H114" s="1693"/>
      <c r="I114" s="1694"/>
      <c r="J114" s="1681"/>
      <c r="K114" s="1694"/>
      <c r="M114" s="1696"/>
      <c r="N114" s="1687"/>
      <c r="W114" s="14" t="s">
        <v>105</v>
      </c>
    </row>
    <row r="115" spans="3:23">
      <c r="C115" s="1747"/>
      <c r="G115" s="1688"/>
      <c r="H115" s="1693"/>
      <c r="I115" s="1694"/>
      <c r="J115" s="1681"/>
      <c r="M115" s="1687"/>
      <c r="N115" s="1688"/>
    </row>
    <row r="116" spans="3:23">
      <c r="C116" s="1747"/>
      <c r="G116" s="1688"/>
      <c r="H116" s="1693"/>
      <c r="I116" s="1694"/>
      <c r="J116" s="1681"/>
      <c r="M116" s="1687"/>
      <c r="N116" s="1688"/>
    </row>
    <row r="117" spans="3:23">
      <c r="C117" s="1747"/>
      <c r="G117" s="1688"/>
      <c r="H117" s="1693"/>
      <c r="I117" s="1694"/>
      <c r="J117" s="1681"/>
      <c r="M117" s="1687"/>
      <c r="N117" s="1688"/>
    </row>
    <row r="118" spans="3:23">
      <c r="C118" s="1747"/>
      <c r="G118" s="1688"/>
      <c r="H118" s="1693"/>
      <c r="I118" s="1694"/>
      <c r="J118" s="1681"/>
      <c r="M118" s="1687"/>
      <c r="N118" s="1688"/>
    </row>
    <row r="119" spans="3:23">
      <c r="C119" s="1747"/>
      <c r="G119" s="1688"/>
      <c r="H119" s="1693"/>
      <c r="I119" s="1694"/>
      <c r="J119" s="1681"/>
      <c r="M119" s="1687"/>
      <c r="N119" s="1688"/>
    </row>
    <row r="120" spans="3:23" ht="29" customHeight="1">
      <c r="C120" s="1747"/>
      <c r="G120" s="1688"/>
      <c r="H120" s="1693"/>
      <c r="I120" s="1694"/>
      <c r="J120" s="1681"/>
      <c r="M120" s="1687"/>
      <c r="N120" s="1688"/>
    </row>
  </sheetData>
  <mergeCells count="120">
    <mergeCell ref="A2:A3"/>
    <mergeCell ref="B2:B3"/>
    <mergeCell ref="N104:N120"/>
    <mergeCell ref="P104:P110"/>
    <mergeCell ref="D59:H59"/>
    <mergeCell ref="I59:J59"/>
    <mergeCell ref="K59:N59"/>
    <mergeCell ref="I104:I120"/>
    <mergeCell ref="J104:J120"/>
    <mergeCell ref="K104:K114"/>
    <mergeCell ref="L104:L111"/>
    <mergeCell ref="M104:M120"/>
    <mergeCell ref="M73:M89"/>
    <mergeCell ref="N73:N89"/>
    <mergeCell ref="P73:P79"/>
    <mergeCell ref="C104:C120"/>
    <mergeCell ref="D104:E107"/>
    <mergeCell ref="F104:F114"/>
    <mergeCell ref="G104:G120"/>
    <mergeCell ref="H104:H120"/>
    <mergeCell ref="C73:C89"/>
    <mergeCell ref="D73:E76"/>
    <mergeCell ref="F73:F83"/>
    <mergeCell ref="G73:G89"/>
    <mergeCell ref="C1:N1"/>
    <mergeCell ref="L11:L18"/>
    <mergeCell ref="C94:C98"/>
    <mergeCell ref="D94:D98"/>
    <mergeCell ref="E94:E98"/>
    <mergeCell ref="D92:H92"/>
    <mergeCell ref="I92:J92"/>
    <mergeCell ref="M94:M98"/>
    <mergeCell ref="P94:P98"/>
    <mergeCell ref="J94:J98"/>
    <mergeCell ref="I94:I98"/>
    <mergeCell ref="F94:F98"/>
    <mergeCell ref="H94:H98"/>
    <mergeCell ref="G94:G98"/>
    <mergeCell ref="I73:I89"/>
    <mergeCell ref="J73:J89"/>
    <mergeCell ref="K73:K83"/>
    <mergeCell ref="L73:L80"/>
    <mergeCell ref="D30:H30"/>
    <mergeCell ref="I30:J30"/>
    <mergeCell ref="K30:N30"/>
    <mergeCell ref="C60:C66"/>
    <mergeCell ref="C40:C56"/>
    <mergeCell ref="F32:F33"/>
    <mergeCell ref="H73:H89"/>
    <mergeCell ref="P40:P46"/>
    <mergeCell ref="G60:G66"/>
    <mergeCell ref="P32:P33"/>
    <mergeCell ref="Q32:Q33"/>
    <mergeCell ref="K40:K50"/>
    <mergeCell ref="L40:L47"/>
    <mergeCell ref="M40:M56"/>
    <mergeCell ref="N40:N56"/>
    <mergeCell ref="K32:K33"/>
    <mergeCell ref="M32:M33"/>
    <mergeCell ref="L32:L33"/>
    <mergeCell ref="I32:I33"/>
    <mergeCell ref="T94:T98"/>
    <mergeCell ref="L60:L66"/>
    <mergeCell ref="K60:K66"/>
    <mergeCell ref="N60:N66"/>
    <mergeCell ref="S94:S98"/>
    <mergeCell ref="R94:R98"/>
    <mergeCell ref="N94:N98"/>
    <mergeCell ref="Q94:Q98"/>
    <mergeCell ref="K94:K98"/>
    <mergeCell ref="K92:N92"/>
    <mergeCell ref="L94:L98"/>
    <mergeCell ref="P60:P66"/>
    <mergeCell ref="Q60:Q66"/>
    <mergeCell ref="M60:M66"/>
    <mergeCell ref="S60:S66"/>
    <mergeCell ref="T60:T66"/>
    <mergeCell ref="R60:R66"/>
    <mergeCell ref="D32:D33"/>
    <mergeCell ref="E32:E33"/>
    <mergeCell ref="G32:G33"/>
    <mergeCell ref="H32:H33"/>
    <mergeCell ref="AE64:AE66"/>
    <mergeCell ref="AC60:AC66"/>
    <mergeCell ref="F60:F66"/>
    <mergeCell ref="D60:D66"/>
    <mergeCell ref="N32:N33"/>
    <mergeCell ref="D40:E43"/>
    <mergeCell ref="F40:F50"/>
    <mergeCell ref="G40:G56"/>
    <mergeCell ref="H40:H56"/>
    <mergeCell ref="I40:I56"/>
    <mergeCell ref="J40:J56"/>
    <mergeCell ref="T32:T33"/>
    <mergeCell ref="S32:S33"/>
    <mergeCell ref="R32:R33"/>
    <mergeCell ref="AC94:AC98"/>
    <mergeCell ref="C2:X2"/>
    <mergeCell ref="J11:J27"/>
    <mergeCell ref="I5:J5"/>
    <mergeCell ref="K5:N5"/>
    <mergeCell ref="N11:N27"/>
    <mergeCell ref="P11:P17"/>
    <mergeCell ref="D5:H5"/>
    <mergeCell ref="H11:H27"/>
    <mergeCell ref="I11:I27"/>
    <mergeCell ref="M11:M27"/>
    <mergeCell ref="F11:F21"/>
    <mergeCell ref="K11:K21"/>
    <mergeCell ref="D11:E14"/>
    <mergeCell ref="G11:G27"/>
    <mergeCell ref="C11:C27"/>
    <mergeCell ref="K3:N3"/>
    <mergeCell ref="D3:I3"/>
    <mergeCell ref="E60:E66"/>
    <mergeCell ref="I60:I66"/>
    <mergeCell ref="H60:H66"/>
    <mergeCell ref="J60:J66"/>
    <mergeCell ref="C32:C33"/>
    <mergeCell ref="J32:J33"/>
  </mergeCells>
  <phoneticPr fontId="61" type="noConversion"/>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O190"/>
  <sheetViews>
    <sheetView topLeftCell="AM1" zoomScaleNormal="100" zoomScalePageLayoutView="200" workbookViewId="0">
      <selection activeCell="AM8" sqref="AM8"/>
    </sheetView>
  </sheetViews>
  <sheetFormatPr baseColWidth="10" defaultColWidth="11" defaultRowHeight="16"/>
  <cols>
    <col min="1" max="1" width="11" style="933"/>
    <col min="2" max="2" width="7.1640625" style="143" customWidth="1"/>
    <col min="3" max="3" width="32.83203125" customWidth="1"/>
    <col min="4" max="4" width="12.5" customWidth="1"/>
    <col min="5" max="5" width="9.5" customWidth="1"/>
    <col min="6" max="6" width="10.5" customWidth="1"/>
    <col min="7" max="7" width="11.83203125" customWidth="1"/>
    <col min="8" max="8" width="10.83203125" customWidth="1"/>
    <col min="9" max="9" width="11.6640625" customWidth="1"/>
    <col min="10" max="10" width="9.1640625" customWidth="1"/>
    <col min="11" max="11" width="9.83203125" customWidth="1"/>
    <col min="12" max="12" width="9.33203125" customWidth="1"/>
    <col min="13" max="13" width="8.1640625" customWidth="1"/>
    <col min="14" max="14" width="9.33203125" customWidth="1"/>
    <col min="15" max="15" width="8.83203125" customWidth="1"/>
    <col min="16" max="16" width="9.5" customWidth="1"/>
    <col min="17" max="17" width="9" customWidth="1"/>
    <col min="18" max="18" width="10.1640625" customWidth="1"/>
    <col min="19" max="19" width="13.33203125" customWidth="1"/>
    <col min="20" max="20" width="8.83203125" customWidth="1"/>
    <col min="21" max="22" width="10.83203125" customWidth="1"/>
    <col min="23" max="23" width="9.6640625" customWidth="1"/>
    <col min="24" max="24" width="10.1640625" customWidth="1"/>
    <col min="25" max="25" width="10.83203125" customWidth="1"/>
    <col min="26" max="26" width="13.5" customWidth="1"/>
    <col min="27" max="27" width="9.33203125" customWidth="1"/>
    <col min="28" max="28" width="10.6640625" style="102" customWidth="1"/>
    <col min="29" max="29" width="11.83203125" customWidth="1"/>
    <col min="30" max="30" width="9.33203125" customWidth="1"/>
    <col min="31" max="31" width="13.6640625" customWidth="1"/>
    <col min="32" max="32" width="10.1640625" customWidth="1"/>
    <col min="33" max="33" width="14" customWidth="1"/>
    <col min="34" max="34" width="9" customWidth="1"/>
    <col min="35" max="35" width="10.6640625" customWidth="1"/>
    <col min="36" max="36" width="9.6640625" customWidth="1"/>
    <col min="37" max="37" width="10.83203125" customWidth="1"/>
    <col min="38" max="39" width="10.83203125" style="127" customWidth="1"/>
    <col min="40" max="40" width="10.33203125" customWidth="1"/>
    <col min="41" max="41" width="9.5" style="14" customWidth="1"/>
    <col min="42" max="42" width="1" style="1057" customWidth="1"/>
    <col min="43" max="43" width="48.5" customWidth="1"/>
    <col min="44" max="44" width="9" customWidth="1"/>
    <col min="45" max="45" width="9.1640625" style="14" customWidth="1"/>
    <col min="46" max="46" width="8.6640625" style="104" customWidth="1"/>
    <col min="47" max="47" width="11.6640625" style="123" customWidth="1"/>
    <col min="48" max="48" width="9.6640625" customWidth="1"/>
    <col min="53" max="54" width="12.5" customWidth="1"/>
    <col min="55" max="55" width="17" style="127" customWidth="1"/>
    <col min="56" max="56" width="12.1640625" style="127" customWidth="1"/>
    <col min="57" max="57" width="10.6640625" style="127" customWidth="1"/>
    <col min="58" max="58" width="4.83203125" hidden="1" customWidth="1"/>
    <col min="59" max="59" width="8.1640625" customWidth="1"/>
    <col min="60" max="60" width="9.6640625" customWidth="1"/>
    <col min="61" max="61" width="9" customWidth="1"/>
    <col min="62" max="62" width="6.33203125" customWidth="1"/>
    <col min="63" max="63" width="3.33203125" customWidth="1"/>
    <col min="64" max="64" width="6.1640625" customWidth="1"/>
    <col min="65" max="66" width="5.5" customWidth="1"/>
  </cols>
  <sheetData>
    <row r="1" spans="1:67" ht="19">
      <c r="A1" s="1875" t="s">
        <v>242</v>
      </c>
      <c r="B1" s="1875"/>
      <c r="C1" s="1875"/>
      <c r="D1" s="1875"/>
      <c r="E1" s="1875"/>
      <c r="F1" s="1875"/>
      <c r="G1" s="1875"/>
      <c r="H1" s="1875"/>
      <c r="I1" s="1875"/>
      <c r="J1" s="1875"/>
      <c r="K1" s="1875"/>
      <c r="L1" s="1875"/>
      <c r="M1" s="1875"/>
      <c r="N1" s="1875"/>
      <c r="O1" s="1875"/>
      <c r="P1" s="1875"/>
      <c r="Q1" s="1875"/>
      <c r="R1" s="1875"/>
      <c r="S1" s="1875"/>
      <c r="T1" s="1875"/>
      <c r="U1" s="1875"/>
      <c r="V1" s="1875"/>
      <c r="W1" s="1875"/>
      <c r="X1" s="1875"/>
      <c r="Y1" s="1875"/>
      <c r="Z1" s="1875"/>
      <c r="AA1" s="1875"/>
      <c r="AB1" s="1875"/>
      <c r="AC1" s="1875"/>
      <c r="AD1" s="1875"/>
      <c r="AE1" s="1875"/>
    </row>
    <row r="2" spans="1:67" s="635" customFormat="1" ht="20" customHeight="1">
      <c r="A2" s="1750" t="s">
        <v>677</v>
      </c>
      <c r="B2" s="1913" t="s">
        <v>676</v>
      </c>
      <c r="C2" s="1998" t="s">
        <v>1189</v>
      </c>
      <c r="D2" s="1704"/>
      <c r="E2" s="1704"/>
      <c r="F2" s="1704"/>
      <c r="G2" s="1704"/>
      <c r="H2" s="1704"/>
      <c r="I2" s="1704"/>
      <c r="J2" s="1704"/>
      <c r="K2" s="1704"/>
      <c r="L2" s="1704"/>
      <c r="M2" s="1704"/>
      <c r="N2" s="1704"/>
      <c r="O2" s="1704"/>
      <c r="P2" s="1704"/>
      <c r="Q2" s="1704"/>
      <c r="R2" s="1704"/>
      <c r="S2" s="1704"/>
      <c r="T2" s="1704"/>
      <c r="U2" s="1704"/>
      <c r="V2" s="1704"/>
      <c r="W2" s="1704"/>
      <c r="X2" s="1704"/>
      <c r="AB2" s="636"/>
      <c r="AO2" s="636"/>
      <c r="AP2" s="1165"/>
      <c r="AS2" s="636"/>
      <c r="AT2" s="637"/>
      <c r="AU2" s="638"/>
    </row>
    <row r="3" spans="1:67" s="893" customFormat="1" ht="24" customHeight="1">
      <c r="A3" s="1912"/>
      <c r="B3" s="1914"/>
      <c r="C3" s="894" t="s">
        <v>659</v>
      </c>
      <c r="D3" s="1826" t="s">
        <v>1161</v>
      </c>
      <c r="E3" s="1827"/>
      <c r="F3" s="1827"/>
      <c r="G3" s="1827"/>
      <c r="H3" s="1827"/>
      <c r="I3" s="1827"/>
      <c r="J3" s="1773" t="s">
        <v>1190</v>
      </c>
      <c r="K3" s="1827"/>
      <c r="L3" s="1827"/>
      <c r="M3" s="1827"/>
      <c r="N3" s="1827"/>
      <c r="O3" s="1827"/>
      <c r="P3" s="1827"/>
      <c r="Q3" s="1827"/>
      <c r="R3" s="890"/>
      <c r="S3" s="890"/>
      <c r="T3" s="891"/>
      <c r="U3" s="891"/>
      <c r="V3" s="891"/>
      <c r="W3" s="891"/>
      <c r="X3" s="891"/>
      <c r="Y3" s="891"/>
      <c r="Z3" s="891"/>
      <c r="AA3" s="891"/>
      <c r="AB3" s="891"/>
      <c r="AC3" s="891"/>
      <c r="AD3" s="891"/>
      <c r="AE3" s="891"/>
      <c r="AF3" s="891"/>
      <c r="AG3" s="891"/>
      <c r="AH3" s="891"/>
      <c r="AI3" s="2001" t="s">
        <v>1204</v>
      </c>
      <c r="AJ3" s="2002"/>
      <c r="AK3" s="2002"/>
      <c r="AL3" s="2002"/>
      <c r="AM3" s="2002"/>
      <c r="AN3" s="2002"/>
      <c r="AO3" s="1172"/>
      <c r="AP3" s="1052"/>
      <c r="BD3" s="1600" t="s">
        <v>815</v>
      </c>
    </row>
    <row r="4" spans="1:67" s="893" customFormat="1" ht="6" customHeight="1">
      <c r="A4" s="1535"/>
      <c r="B4" s="1538"/>
      <c r="C4" s="894"/>
      <c r="D4" s="1567"/>
      <c r="E4" s="1563"/>
      <c r="F4" s="1563"/>
      <c r="G4" s="1563"/>
      <c r="H4" s="1563"/>
      <c r="I4" s="1563"/>
      <c r="J4" s="1172"/>
      <c r="K4" s="1568"/>
      <c r="L4" s="1568"/>
      <c r="M4" s="1568"/>
      <c r="N4" s="1568"/>
      <c r="O4" s="1568"/>
      <c r="P4" s="1568"/>
      <c r="Q4" s="1568"/>
      <c r="R4" s="1563"/>
      <c r="S4" s="1563"/>
      <c r="T4" s="1569"/>
      <c r="U4" s="1569"/>
      <c r="V4" s="1569"/>
      <c r="W4" s="1569"/>
      <c r="X4" s="1569"/>
      <c r="Y4" s="1569"/>
      <c r="Z4" s="1569"/>
      <c r="AA4" s="1569"/>
      <c r="AB4" s="1569"/>
      <c r="AC4" s="1569"/>
      <c r="AD4" s="1569"/>
      <c r="AE4" s="1569"/>
      <c r="AF4" s="1569"/>
      <c r="AG4" s="1569"/>
      <c r="AH4" s="1569"/>
      <c r="AI4" s="1570"/>
      <c r="AJ4" s="299"/>
      <c r="AK4" s="299"/>
      <c r="AL4" s="299"/>
      <c r="AM4" s="299"/>
      <c r="AN4" s="299"/>
      <c r="AO4" s="1172"/>
      <c r="AP4" s="1571"/>
      <c r="BD4" s="1600"/>
    </row>
    <row r="5" spans="1:67" s="1229" customFormat="1" ht="32" customHeight="1">
      <c r="A5" s="1329"/>
      <c r="B5" s="1566" t="s">
        <v>96</v>
      </c>
      <c r="C5" s="1572" t="s">
        <v>35</v>
      </c>
      <c r="D5" s="1820" t="s">
        <v>2</v>
      </c>
      <c r="E5" s="1821"/>
      <c r="F5" s="1821"/>
      <c r="G5" s="1821"/>
      <c r="H5" s="1821"/>
      <c r="I5" s="1822"/>
      <c r="J5" s="1788" t="s">
        <v>645</v>
      </c>
      <c r="K5" s="1789"/>
      <c r="L5" s="1790"/>
      <c r="M5" s="1790"/>
      <c r="N5" s="1790"/>
      <c r="O5" s="1790"/>
      <c r="P5" s="1791"/>
      <c r="Q5" s="1790"/>
      <c r="R5" s="1684" t="s">
        <v>882</v>
      </c>
      <c r="S5" s="1779"/>
      <c r="T5" s="1786" t="s">
        <v>664</v>
      </c>
      <c r="U5" s="1787"/>
      <c r="V5" s="1787"/>
      <c r="W5" s="1787"/>
      <c r="X5" s="1787"/>
      <c r="Y5" s="1811" t="s">
        <v>648</v>
      </c>
      <c r="Z5" s="1812"/>
      <c r="AA5" s="1276"/>
      <c r="AB5" s="1276"/>
      <c r="AC5" s="1784" t="s">
        <v>162</v>
      </c>
      <c r="AD5" s="1785"/>
      <c r="AE5" s="1785"/>
      <c r="AF5" s="1782" t="s">
        <v>883</v>
      </c>
      <c r="AG5" s="1974"/>
      <c r="AH5" s="1412"/>
      <c r="AI5" s="1823" t="s">
        <v>167</v>
      </c>
      <c r="AJ5" s="1906"/>
      <c r="AK5" s="1906"/>
      <c r="AL5" s="1906"/>
      <c r="AM5" s="1906"/>
      <c r="AN5" s="1907"/>
      <c r="AO5" s="1278"/>
      <c r="AP5" s="1413"/>
      <c r="AQ5" s="1229" t="s">
        <v>105</v>
      </c>
      <c r="AR5" s="1414"/>
      <c r="AS5" s="1415"/>
      <c r="AT5" s="1416"/>
      <c r="AU5" s="1368"/>
      <c r="BC5" s="1389"/>
      <c r="BD5" s="1140" t="s">
        <v>816</v>
      </c>
      <c r="BE5" s="1389"/>
      <c r="BH5" s="1417"/>
    </row>
    <row r="6" spans="1:67" s="4" customFormat="1" ht="15" customHeight="1">
      <c r="A6" s="773"/>
      <c r="B6" s="143"/>
      <c r="C6" s="505"/>
      <c r="D6" s="109">
        <v>1</v>
      </c>
      <c r="E6" s="50">
        <f t="shared" ref="E6:AO6" si="0">D6+1</f>
        <v>2</v>
      </c>
      <c r="F6" s="50">
        <f t="shared" si="0"/>
        <v>3</v>
      </c>
      <c r="G6" s="50">
        <f t="shared" si="0"/>
        <v>4</v>
      </c>
      <c r="H6" s="50">
        <f t="shared" si="0"/>
        <v>5</v>
      </c>
      <c r="I6" s="50">
        <f t="shared" si="0"/>
        <v>6</v>
      </c>
      <c r="J6" s="109">
        <f t="shared" si="0"/>
        <v>7</v>
      </c>
      <c r="K6" s="50">
        <f t="shared" si="0"/>
        <v>8</v>
      </c>
      <c r="L6" s="50">
        <f t="shared" si="0"/>
        <v>9</v>
      </c>
      <c r="M6" s="50">
        <f t="shared" si="0"/>
        <v>10</v>
      </c>
      <c r="N6" s="50">
        <f t="shared" si="0"/>
        <v>11</v>
      </c>
      <c r="O6" s="50">
        <f t="shared" si="0"/>
        <v>12</v>
      </c>
      <c r="P6" s="50">
        <f t="shared" si="0"/>
        <v>13</v>
      </c>
      <c r="Q6" s="50">
        <f t="shared" si="0"/>
        <v>14</v>
      </c>
      <c r="R6" s="1005">
        <f t="shared" si="0"/>
        <v>15</v>
      </c>
      <c r="S6" s="1007">
        <f t="shared" si="0"/>
        <v>16</v>
      </c>
      <c r="T6" s="109">
        <f t="shared" si="0"/>
        <v>17</v>
      </c>
      <c r="U6" s="50">
        <f t="shared" si="0"/>
        <v>18</v>
      </c>
      <c r="V6" s="50">
        <f t="shared" si="0"/>
        <v>19</v>
      </c>
      <c r="W6" s="50">
        <f t="shared" si="0"/>
        <v>20</v>
      </c>
      <c r="X6" s="50">
        <f t="shared" si="0"/>
        <v>21</v>
      </c>
      <c r="Y6" s="1005">
        <f t="shared" si="0"/>
        <v>22</v>
      </c>
      <c r="Z6" s="1007">
        <f t="shared" si="0"/>
        <v>23</v>
      </c>
      <c r="AA6" s="109">
        <f t="shared" si="0"/>
        <v>24</v>
      </c>
      <c r="AB6" s="110">
        <f t="shared" si="0"/>
        <v>25</v>
      </c>
      <c r="AC6" s="109">
        <f t="shared" si="0"/>
        <v>26</v>
      </c>
      <c r="AD6" s="50">
        <f t="shared" si="0"/>
        <v>27</v>
      </c>
      <c r="AE6" s="50">
        <f t="shared" si="0"/>
        <v>28</v>
      </c>
      <c r="AF6" s="1005">
        <f t="shared" si="0"/>
        <v>29</v>
      </c>
      <c r="AG6" s="137">
        <f t="shared" si="0"/>
        <v>30</v>
      </c>
      <c r="AH6" s="150">
        <f>AG6+1</f>
        <v>31</v>
      </c>
      <c r="AI6" s="109">
        <f>AH6+1</f>
        <v>32</v>
      </c>
      <c r="AJ6" s="50">
        <f>AI6+1</f>
        <v>33</v>
      </c>
      <c r="AK6" s="50">
        <f t="shared" si="0"/>
        <v>34</v>
      </c>
      <c r="AL6" s="50">
        <f t="shared" si="0"/>
        <v>35</v>
      </c>
      <c r="AM6" s="50">
        <f>AL6+1</f>
        <v>36</v>
      </c>
      <c r="AN6" s="110">
        <f>AM6+1</f>
        <v>37</v>
      </c>
      <c r="AO6" s="110">
        <f t="shared" si="0"/>
        <v>38</v>
      </c>
      <c r="AP6" s="1054"/>
      <c r="BC6" s="124"/>
      <c r="BD6" s="1141" t="s">
        <v>817</v>
      </c>
      <c r="BE6" s="124"/>
      <c r="BH6" s="135"/>
    </row>
    <row r="7" spans="1:67" ht="142" customHeight="1">
      <c r="C7" s="1418" t="s">
        <v>967</v>
      </c>
      <c r="D7" s="1239" t="s">
        <v>358</v>
      </c>
      <c r="E7" s="1240" t="s">
        <v>359</v>
      </c>
      <c r="F7" s="1240" t="s">
        <v>246</v>
      </c>
      <c r="G7" s="1240" t="s">
        <v>234</v>
      </c>
      <c r="H7" s="805" t="s">
        <v>1028</v>
      </c>
      <c r="I7" s="1002" t="s">
        <v>248</v>
      </c>
      <c r="J7" s="1240" t="s">
        <v>360</v>
      </c>
      <c r="K7" s="1373" t="s">
        <v>747</v>
      </c>
      <c r="L7" s="1240" t="s">
        <v>361</v>
      </c>
      <c r="M7" s="1373" t="s">
        <v>274</v>
      </c>
      <c r="N7" s="1240" t="s">
        <v>362</v>
      </c>
      <c r="O7" s="1373" t="s">
        <v>274</v>
      </c>
      <c r="P7" s="1240" t="s">
        <v>362</v>
      </c>
      <c r="Q7" s="1373" t="s">
        <v>256</v>
      </c>
      <c r="R7" s="602" t="s">
        <v>257</v>
      </c>
      <c r="S7" s="400" t="s">
        <v>363</v>
      </c>
      <c r="T7" s="1013" t="s">
        <v>364</v>
      </c>
      <c r="U7" s="1010" t="s">
        <v>365</v>
      </c>
      <c r="V7" s="1010" t="s">
        <v>366</v>
      </c>
      <c r="W7" s="1010" t="s">
        <v>261</v>
      </c>
      <c r="X7" s="872" t="s">
        <v>367</v>
      </c>
      <c r="Y7" s="523" t="s">
        <v>995</v>
      </c>
      <c r="Z7" s="599" t="s">
        <v>996</v>
      </c>
      <c r="AA7" s="1010" t="s">
        <v>265</v>
      </c>
      <c r="AB7" s="1010" t="s">
        <v>266</v>
      </c>
      <c r="AC7" s="1239" t="s">
        <v>368</v>
      </c>
      <c r="AD7" s="1010" t="s">
        <v>369</v>
      </c>
      <c r="AE7" s="1010" t="s">
        <v>269</v>
      </c>
      <c r="AF7" s="605" t="s">
        <v>350</v>
      </c>
      <c r="AG7" s="437" t="s">
        <v>270</v>
      </c>
      <c r="AH7" s="1023" t="s">
        <v>271</v>
      </c>
      <c r="AI7" s="1266" t="s">
        <v>808</v>
      </c>
      <c r="AJ7" s="1267" t="s">
        <v>809</v>
      </c>
      <c r="AK7" s="1312" t="s">
        <v>14</v>
      </c>
      <c r="AL7" s="1269" t="s">
        <v>966</v>
      </c>
      <c r="AM7" s="1010" t="s">
        <v>810</v>
      </c>
      <c r="AN7" s="1002" t="s">
        <v>746</v>
      </c>
      <c r="AO7" s="239" t="s">
        <v>272</v>
      </c>
      <c r="AP7" s="1053"/>
      <c r="AQ7" s="1311" t="s">
        <v>636</v>
      </c>
      <c r="AR7" s="805" t="s">
        <v>357</v>
      </c>
      <c r="AS7" s="988" t="s">
        <v>273</v>
      </c>
      <c r="AT7" s="805" t="s">
        <v>746</v>
      </c>
      <c r="AU7" s="1008" t="s">
        <v>811</v>
      </c>
      <c r="AV7" s="1008" t="s">
        <v>745</v>
      </c>
      <c r="BC7" s="158"/>
      <c r="BD7" s="1149" t="s">
        <v>822</v>
      </c>
      <c r="BE7" s="959"/>
      <c r="BF7" s="960"/>
      <c r="BG7" s="961"/>
      <c r="BH7" s="135"/>
      <c r="BI7" s="135"/>
      <c r="BJ7" s="135"/>
      <c r="BK7" s="135"/>
      <c r="BL7" s="135"/>
      <c r="BM7" s="135"/>
    </row>
    <row r="8" spans="1:67" s="298" customFormat="1">
      <c r="A8" s="896">
        <f>1</f>
        <v>1</v>
      </c>
      <c r="B8" s="878">
        <v>1</v>
      </c>
      <c r="C8" s="342" t="s">
        <v>574</v>
      </c>
      <c r="D8" s="607">
        <v>299</v>
      </c>
      <c r="E8" s="656">
        <f>2*D8</f>
        <v>598</v>
      </c>
      <c r="F8" s="650">
        <f>2*271</f>
        <v>542</v>
      </c>
      <c r="G8" s="1307">
        <f>F8*1.15</f>
        <v>623.29999999999995</v>
      </c>
      <c r="H8" s="274">
        <f>(E8*0.23)</f>
        <v>137.54</v>
      </c>
      <c r="I8" s="274">
        <f>0.5*(H8*1.1)</f>
        <v>75.647000000000006</v>
      </c>
      <c r="J8" s="613" t="s">
        <v>154</v>
      </c>
      <c r="K8" s="656" t="s">
        <v>154</v>
      </c>
      <c r="L8" s="650">
        <f>124-23</f>
        <v>101</v>
      </c>
      <c r="M8" s="656" t="s">
        <v>154</v>
      </c>
      <c r="N8" s="656" t="s">
        <v>154</v>
      </c>
      <c r="O8" s="656" t="s">
        <v>154</v>
      </c>
      <c r="P8" s="656" t="s">
        <v>154</v>
      </c>
      <c r="Q8" s="656">
        <f>SUM(J8:P8)</f>
        <v>101</v>
      </c>
      <c r="R8" s="610">
        <f>2*Q8</f>
        <v>202</v>
      </c>
      <c r="S8" s="690">
        <f>R8+(2*71)</f>
        <v>344</v>
      </c>
      <c r="T8" s="644">
        <v>0</v>
      </c>
      <c r="U8" s="624">
        <v>93</v>
      </c>
      <c r="V8" s="648" t="s">
        <v>154</v>
      </c>
      <c r="W8" s="648" t="s">
        <v>154</v>
      </c>
      <c r="X8" s="649">
        <f>SUM(T8:W8)</f>
        <v>93</v>
      </c>
      <c r="Y8" s="524">
        <f>2*X8</f>
        <v>186</v>
      </c>
      <c r="Z8" s="525">
        <f>Y8+(23)</f>
        <v>209</v>
      </c>
      <c r="AA8" s="624">
        <f>Z8-H8</f>
        <v>71.460000000000008</v>
      </c>
      <c r="AB8" s="653">
        <f>(Z8)-(I8)</f>
        <v>133.35300000000001</v>
      </c>
      <c r="AC8" s="650">
        <f>409-78</f>
        <v>331</v>
      </c>
      <c r="AD8" s="624">
        <f>(33.89)+(AC8*0.2095)</f>
        <v>103.2345</v>
      </c>
      <c r="AE8" s="624">
        <f>X8-U8+AD8</f>
        <v>103.2345</v>
      </c>
      <c r="AF8" s="281">
        <f>2*AE8</f>
        <v>206.46899999999999</v>
      </c>
      <c r="AG8" s="444">
        <f>AF8+(23)</f>
        <v>229.46899999999999</v>
      </c>
      <c r="AH8" s="659">
        <f>AG8-(I8)</f>
        <v>153.822</v>
      </c>
      <c r="AI8" s="1263" t="s">
        <v>776</v>
      </c>
      <c r="AJ8" s="1363">
        <v>74</v>
      </c>
      <c r="AK8" s="673">
        <f>(2*AJ8)+(2*71)+(2*45)</f>
        <v>380</v>
      </c>
      <c r="AL8" s="673">
        <f>S8-AK8</f>
        <v>-36</v>
      </c>
      <c r="AM8" s="624">
        <f>31+15</f>
        <v>46</v>
      </c>
      <c r="AN8" s="273">
        <f>(121)+(23)+AM8</f>
        <v>190</v>
      </c>
      <c r="AO8" s="274">
        <f>Z8-AN8</f>
        <v>19</v>
      </c>
      <c r="AP8" s="1055"/>
      <c r="AQ8" s="342" t="s">
        <v>633</v>
      </c>
      <c r="AR8" s="276">
        <f>H8</f>
        <v>137.54</v>
      </c>
      <c r="AS8" s="261">
        <f>Z8</f>
        <v>209</v>
      </c>
      <c r="AT8" s="261">
        <f>AN8</f>
        <v>190</v>
      </c>
      <c r="AU8" s="804">
        <f>S8-G8</f>
        <v>-279.29999999999995</v>
      </c>
      <c r="AV8" s="343">
        <f>S8-AK8</f>
        <v>-36</v>
      </c>
      <c r="BC8" s="423"/>
      <c r="BD8" s="1140">
        <f>B8</f>
        <v>1</v>
      </c>
      <c r="BE8" s="962"/>
      <c r="BF8" s="963"/>
      <c r="BG8" s="964"/>
      <c r="BH8" s="978"/>
      <c r="BI8" s="135"/>
      <c r="BJ8" s="135"/>
      <c r="BK8" s="135"/>
      <c r="BL8" s="135"/>
      <c r="BM8" s="135"/>
    </row>
    <row r="9" spans="1:67" s="298" customFormat="1" ht="15" customHeight="1">
      <c r="A9" s="896">
        <f>A8+1</f>
        <v>2</v>
      </c>
      <c r="B9" s="889">
        <v>1</v>
      </c>
      <c r="C9" s="342" t="s">
        <v>575</v>
      </c>
      <c r="D9" s="607">
        <v>329</v>
      </c>
      <c r="E9" s="656">
        <f>2*D9</f>
        <v>658</v>
      </c>
      <c r="F9" s="862">
        <f>(2*297)</f>
        <v>594</v>
      </c>
      <c r="G9" s="1307">
        <f>F9*1.15</f>
        <v>683.09999999999991</v>
      </c>
      <c r="H9" s="274">
        <f>(E9*0.23)</f>
        <v>151.34</v>
      </c>
      <c r="I9" s="274">
        <f>0.5*(H9*1.1)</f>
        <v>83.237000000000009</v>
      </c>
      <c r="J9" s="613" t="s">
        <v>154</v>
      </c>
      <c r="K9" s="656" t="s">
        <v>154</v>
      </c>
      <c r="L9" s="656">
        <f>124</f>
        <v>124</v>
      </c>
      <c r="M9" s="656" t="s">
        <v>154</v>
      </c>
      <c r="N9" s="656" t="s">
        <v>154</v>
      </c>
      <c r="O9" s="656" t="s">
        <v>154</v>
      </c>
      <c r="P9" s="656" t="s">
        <v>154</v>
      </c>
      <c r="Q9" s="656">
        <f>SUM(J9:P9)</f>
        <v>124</v>
      </c>
      <c r="R9" s="610">
        <f>2*Q9</f>
        <v>248</v>
      </c>
      <c r="S9" s="690">
        <f>R9+(2*71)</f>
        <v>390</v>
      </c>
      <c r="T9" s="644">
        <v>0</v>
      </c>
      <c r="U9" s="624">
        <v>93</v>
      </c>
      <c r="V9" s="648" t="s">
        <v>154</v>
      </c>
      <c r="W9" s="648" t="s">
        <v>154</v>
      </c>
      <c r="X9" s="649">
        <f>SUM(T9:W9)</f>
        <v>93</v>
      </c>
      <c r="Y9" s="524">
        <f>2*X9</f>
        <v>186</v>
      </c>
      <c r="Z9" s="525">
        <f>Y9+(23)</f>
        <v>209</v>
      </c>
      <c r="AA9" s="624">
        <f>Z9-H9</f>
        <v>57.66</v>
      </c>
      <c r="AB9" s="653">
        <f>(Z9)-(I9)</f>
        <v>125.76299999999999</v>
      </c>
      <c r="AC9" s="862">
        <f>(409-48)</f>
        <v>361</v>
      </c>
      <c r="AD9" s="624">
        <f>(33.89)+(AC9*0.2095)</f>
        <v>109.51949999999999</v>
      </c>
      <c r="AE9" s="624">
        <f>X9-U9+AD9</f>
        <v>109.51949999999999</v>
      </c>
      <c r="AF9" s="281">
        <f>2*AE9</f>
        <v>219.03899999999999</v>
      </c>
      <c r="AG9" s="444">
        <f>AF9+(23)</f>
        <v>242.03899999999999</v>
      </c>
      <c r="AH9" s="659">
        <f>AG9-(I9)</f>
        <v>158.80199999999996</v>
      </c>
      <c r="AI9" s="1263" t="s">
        <v>776</v>
      </c>
      <c r="AJ9" s="1363">
        <v>74</v>
      </c>
      <c r="AK9" s="673">
        <f>(2*AJ9)+(2*71)+(2*45)</f>
        <v>380</v>
      </c>
      <c r="AL9" s="673">
        <f>S9-AK9</f>
        <v>10</v>
      </c>
      <c r="AM9" s="624">
        <f>31</f>
        <v>31</v>
      </c>
      <c r="AN9" s="273">
        <f>(121)+(23)+AM9</f>
        <v>175</v>
      </c>
      <c r="AO9" s="274">
        <f>Z9-AN9</f>
        <v>34</v>
      </c>
      <c r="AP9" s="1055"/>
      <c r="AQ9" s="342" t="s">
        <v>655</v>
      </c>
      <c r="AR9" s="276">
        <f>H9</f>
        <v>151.34</v>
      </c>
      <c r="AS9" s="261">
        <f>Z9</f>
        <v>209</v>
      </c>
      <c r="AT9" s="261">
        <f>AN9</f>
        <v>175</v>
      </c>
      <c r="AU9" s="804">
        <f>S9-G9</f>
        <v>-293.09999999999991</v>
      </c>
      <c r="AV9" s="343">
        <f>S9-AK9</f>
        <v>10</v>
      </c>
      <c r="BC9" s="423"/>
      <c r="BD9" s="1141">
        <f t="shared" ref="BD9:BD12" si="1">B9</f>
        <v>1</v>
      </c>
      <c r="BE9" s="962"/>
      <c r="BF9" s="963"/>
      <c r="BG9" s="964"/>
      <c r="BH9" s="135"/>
      <c r="BI9" s="135"/>
      <c r="BJ9" s="135"/>
      <c r="BK9" s="135"/>
      <c r="BL9" s="135"/>
      <c r="BM9" s="135"/>
    </row>
    <row r="10" spans="1:67" s="351" customFormat="1" ht="15" customHeight="1">
      <c r="A10" s="896">
        <f t="shared" ref="A10:A12" si="2">A9+1</f>
        <v>3</v>
      </c>
      <c r="B10" s="889">
        <f>B9+1</f>
        <v>2</v>
      </c>
      <c r="C10" s="342" t="s">
        <v>693</v>
      </c>
      <c r="D10" s="607">
        <v>297</v>
      </c>
      <c r="E10" s="656">
        <f>2*D10</f>
        <v>594</v>
      </c>
      <c r="F10" s="650">
        <f>2*268</f>
        <v>536</v>
      </c>
      <c r="G10" s="1307">
        <f>F10*1.15</f>
        <v>616.4</v>
      </c>
      <c r="H10" s="274">
        <f>(E10*0.23)</f>
        <v>136.62</v>
      </c>
      <c r="I10" s="274">
        <f>0.5*(H10*1.1)</f>
        <v>75.141000000000005</v>
      </c>
      <c r="J10" s="613" t="s">
        <v>154</v>
      </c>
      <c r="K10" s="656" t="s">
        <v>154</v>
      </c>
      <c r="L10" s="650">
        <f>151-23</f>
        <v>128</v>
      </c>
      <c r="M10" s="656" t="s">
        <v>154</v>
      </c>
      <c r="N10" s="656" t="s">
        <v>154</v>
      </c>
      <c r="O10" s="656" t="s">
        <v>154</v>
      </c>
      <c r="P10" s="656" t="s">
        <v>154</v>
      </c>
      <c r="Q10" s="656">
        <f>SUM(J10:P10)</f>
        <v>128</v>
      </c>
      <c r="R10" s="610">
        <f>2*Q10</f>
        <v>256</v>
      </c>
      <c r="S10" s="690">
        <f>R10+(2*71)</f>
        <v>398</v>
      </c>
      <c r="T10" s="644">
        <v>0</v>
      </c>
      <c r="U10" s="624">
        <v>93</v>
      </c>
      <c r="V10" s="648" t="s">
        <v>154</v>
      </c>
      <c r="W10" s="648" t="s">
        <v>154</v>
      </c>
      <c r="X10" s="649">
        <f>SUM(T10:W10)</f>
        <v>93</v>
      </c>
      <c r="Y10" s="524">
        <f>2*X10</f>
        <v>186</v>
      </c>
      <c r="Z10" s="525">
        <f>Y10+(23)</f>
        <v>209</v>
      </c>
      <c r="AA10" s="624">
        <f>Z10-H10</f>
        <v>72.38</v>
      </c>
      <c r="AB10" s="653">
        <f>(Z10)-(I10)</f>
        <v>133.85899999999998</v>
      </c>
      <c r="AC10" s="650">
        <f>460-78</f>
        <v>382</v>
      </c>
      <c r="AD10" s="624">
        <f>(33.89)+(AC10*0.2095)</f>
        <v>113.919</v>
      </c>
      <c r="AE10" s="624">
        <f>X10-U10+AD10</f>
        <v>113.919</v>
      </c>
      <c r="AF10" s="281">
        <f>2*AE10</f>
        <v>227.83799999999999</v>
      </c>
      <c r="AG10" s="444">
        <f>AF10+(23)</f>
        <v>250.83799999999999</v>
      </c>
      <c r="AH10" s="659">
        <f>AG10-(I10)</f>
        <v>175.697</v>
      </c>
      <c r="AI10" s="1263" t="s">
        <v>778</v>
      </c>
      <c r="AJ10" s="1363">
        <v>74</v>
      </c>
      <c r="AK10" s="673">
        <f>(2*AJ10)+(2*71)+(2*45)</f>
        <v>380</v>
      </c>
      <c r="AL10" s="673">
        <f>S10-AK10</f>
        <v>18</v>
      </c>
      <c r="AM10" s="624">
        <v>15</v>
      </c>
      <c r="AN10" s="273">
        <f>(137)+(23)+AM10</f>
        <v>175</v>
      </c>
      <c r="AO10" s="274">
        <f>Z10-AN10</f>
        <v>34</v>
      </c>
      <c r="AP10" s="1056"/>
      <c r="AQ10" s="342" t="s">
        <v>634</v>
      </c>
      <c r="AR10" s="276">
        <f>H10</f>
        <v>136.62</v>
      </c>
      <c r="AS10" s="261">
        <f>Z10</f>
        <v>209</v>
      </c>
      <c r="AT10" s="261">
        <f>AN10</f>
        <v>175</v>
      </c>
      <c r="AU10" s="804">
        <f>S10-G10</f>
        <v>-218.39999999999998</v>
      </c>
      <c r="AV10" s="343">
        <f>S10-AK10</f>
        <v>18</v>
      </c>
      <c r="BC10" s="423"/>
      <c r="BD10" s="1141">
        <f t="shared" si="1"/>
        <v>2</v>
      </c>
      <c r="BE10" s="962"/>
      <c r="BF10" s="965"/>
      <c r="BG10" s="966"/>
      <c r="BH10" s="135"/>
      <c r="BI10" s="135"/>
      <c r="BJ10" s="135"/>
      <c r="BK10" s="135"/>
      <c r="BL10" s="135"/>
      <c r="BM10" s="135"/>
    </row>
    <row r="11" spans="1:67" s="298" customFormat="1">
      <c r="A11" s="896">
        <f t="shared" si="2"/>
        <v>4</v>
      </c>
      <c r="B11" s="889">
        <f>B10+1</f>
        <v>3</v>
      </c>
      <c r="C11" s="342" t="s">
        <v>1179</v>
      </c>
      <c r="D11" s="607">
        <v>293</v>
      </c>
      <c r="E11" s="656">
        <f>2*D11</f>
        <v>586</v>
      </c>
      <c r="F11" s="650">
        <f>2*269</f>
        <v>538</v>
      </c>
      <c r="G11" s="1307">
        <f>F11*1.15</f>
        <v>618.69999999999993</v>
      </c>
      <c r="H11" s="274">
        <f>(E11*0.23)</f>
        <v>134.78</v>
      </c>
      <c r="I11" s="274">
        <f>0.5*(H11*1.1)</f>
        <v>74.129000000000005</v>
      </c>
      <c r="J11" s="613" t="s">
        <v>154</v>
      </c>
      <c r="K11" s="656" t="s">
        <v>154</v>
      </c>
      <c r="L11" s="650">
        <f>169-23</f>
        <v>146</v>
      </c>
      <c r="M11" s="656" t="s">
        <v>154</v>
      </c>
      <c r="N11" s="656" t="s">
        <v>154</v>
      </c>
      <c r="O11" s="656" t="s">
        <v>154</v>
      </c>
      <c r="P11" s="656" t="s">
        <v>154</v>
      </c>
      <c r="Q11" s="656">
        <f>SUM(J11:P11)</f>
        <v>146</v>
      </c>
      <c r="R11" s="610">
        <f>2*Q11</f>
        <v>292</v>
      </c>
      <c r="S11" s="690">
        <f>R11+(2*71)</f>
        <v>434</v>
      </c>
      <c r="T11" s="644">
        <v>0</v>
      </c>
      <c r="U11" s="624">
        <v>93</v>
      </c>
      <c r="V11" s="648" t="s">
        <v>154</v>
      </c>
      <c r="W11" s="648" t="s">
        <v>154</v>
      </c>
      <c r="X11" s="649">
        <f>SUM(T11:W11)</f>
        <v>93</v>
      </c>
      <c r="Y11" s="524">
        <f>2*X11</f>
        <v>186</v>
      </c>
      <c r="Z11" s="525">
        <f>Y11+(23)</f>
        <v>209</v>
      </c>
      <c r="AA11" s="624">
        <f>Z11-H11</f>
        <v>74.22</v>
      </c>
      <c r="AB11" s="653">
        <f>(Z11)-(I11)</f>
        <v>134.87099999999998</v>
      </c>
      <c r="AC11" s="650">
        <f>466-78</f>
        <v>388</v>
      </c>
      <c r="AD11" s="624">
        <f>(33.89)+(AC11*0.2095)</f>
        <v>115.176</v>
      </c>
      <c r="AE11" s="624">
        <f>X11-U11+AD11</f>
        <v>115.176</v>
      </c>
      <c r="AF11" s="281">
        <f>2*AE11</f>
        <v>230.352</v>
      </c>
      <c r="AG11" s="444">
        <f>AF11+(23)</f>
        <v>253.352</v>
      </c>
      <c r="AH11" s="659">
        <f>AG11-(I11)</f>
        <v>179.22300000000001</v>
      </c>
      <c r="AI11" s="1263" t="s">
        <v>776</v>
      </c>
      <c r="AJ11" s="1363">
        <v>74</v>
      </c>
      <c r="AK11" s="673">
        <f>(2*AJ11)+(2*71)+(2*45)</f>
        <v>380</v>
      </c>
      <c r="AL11" s="673">
        <f>S11-AK11</f>
        <v>54</v>
      </c>
      <c r="AM11" s="624">
        <v>15</v>
      </c>
      <c r="AN11" s="273">
        <f>(121)+(23)+AM11</f>
        <v>159</v>
      </c>
      <c r="AO11" s="274">
        <f>Z11-AN11</f>
        <v>50</v>
      </c>
      <c r="AP11" s="1056"/>
      <c r="AQ11" s="342" t="s">
        <v>748</v>
      </c>
      <c r="AR11" s="276">
        <f>H11</f>
        <v>134.78</v>
      </c>
      <c r="AS11" s="261">
        <f>Z11</f>
        <v>209</v>
      </c>
      <c r="AT11" s="261">
        <f>AN11</f>
        <v>159</v>
      </c>
      <c r="AU11" s="804">
        <f>S11-G11</f>
        <v>-184.69999999999993</v>
      </c>
      <c r="AV11" s="343">
        <f>S11-AK11</f>
        <v>54</v>
      </c>
      <c r="BC11" s="423"/>
      <c r="BD11" s="1141">
        <f t="shared" si="1"/>
        <v>3</v>
      </c>
      <c r="BE11" s="962"/>
      <c r="BF11" s="964"/>
      <c r="BG11" s="964"/>
      <c r="BH11" s="135"/>
      <c r="BI11" s="135"/>
      <c r="BJ11" s="135"/>
      <c r="BK11" s="135"/>
      <c r="BL11" s="135"/>
      <c r="BM11" s="135"/>
    </row>
    <row r="12" spans="1:67" s="298" customFormat="1">
      <c r="A12" s="896">
        <f t="shared" si="2"/>
        <v>5</v>
      </c>
      <c r="B12" s="889">
        <f>B11+1</f>
        <v>4</v>
      </c>
      <c r="C12" s="342" t="s">
        <v>576</v>
      </c>
      <c r="D12" s="607">
        <v>362</v>
      </c>
      <c r="E12" s="656">
        <f>2*D12</f>
        <v>724</v>
      </c>
      <c r="F12" s="650">
        <f>2*344</f>
        <v>688</v>
      </c>
      <c r="G12" s="1307">
        <f>F12*1.15</f>
        <v>791.19999999999993</v>
      </c>
      <c r="H12" s="274">
        <f>(E12*0.23)</f>
        <v>166.52</v>
      </c>
      <c r="I12" s="274">
        <f>0.5*(H12*1.1)</f>
        <v>91.586000000000013</v>
      </c>
      <c r="J12" s="613" t="s">
        <v>154</v>
      </c>
      <c r="K12" s="656" t="s">
        <v>154</v>
      </c>
      <c r="L12" s="650">
        <f>220-19</f>
        <v>201</v>
      </c>
      <c r="M12" s="656" t="s">
        <v>154</v>
      </c>
      <c r="N12" s="656" t="s">
        <v>154</v>
      </c>
      <c r="O12" s="656" t="s">
        <v>154</v>
      </c>
      <c r="P12" s="656" t="s">
        <v>154</v>
      </c>
      <c r="Q12" s="656">
        <f>SUM(J12:P12)</f>
        <v>201</v>
      </c>
      <c r="R12" s="610">
        <f>2*Q12</f>
        <v>402</v>
      </c>
      <c r="S12" s="690">
        <f>R12+(2*71)</f>
        <v>544</v>
      </c>
      <c r="T12" s="644">
        <v>0</v>
      </c>
      <c r="U12" s="624">
        <v>93</v>
      </c>
      <c r="V12" s="648" t="s">
        <v>154</v>
      </c>
      <c r="W12" s="648" t="s">
        <v>154</v>
      </c>
      <c r="X12" s="649">
        <f>SUM(T12:W12)</f>
        <v>93</v>
      </c>
      <c r="Y12" s="524">
        <f>2*X12</f>
        <v>186</v>
      </c>
      <c r="Z12" s="525">
        <f>Y12+(23)</f>
        <v>209</v>
      </c>
      <c r="AA12" s="624">
        <f>Z12-H12</f>
        <v>42.47999999999999</v>
      </c>
      <c r="AB12" s="653">
        <f>(Z12)-(I12)</f>
        <v>117.41399999999999</v>
      </c>
      <c r="AC12" s="650">
        <f>409-15</f>
        <v>394</v>
      </c>
      <c r="AD12" s="624">
        <f>(33.89)+(AC12*0.2095)</f>
        <v>116.43299999999999</v>
      </c>
      <c r="AE12" s="624">
        <f>X12-U12+AD12</f>
        <v>116.43299999999999</v>
      </c>
      <c r="AF12" s="281">
        <f>2*AE12</f>
        <v>232.86599999999999</v>
      </c>
      <c r="AG12" s="444">
        <f>AF12+(23)</f>
        <v>255.86599999999999</v>
      </c>
      <c r="AH12" s="659">
        <f>AG12-(I12)</f>
        <v>164.27999999999997</v>
      </c>
      <c r="AI12" s="1263" t="s">
        <v>777</v>
      </c>
      <c r="AJ12" s="1363">
        <v>90</v>
      </c>
      <c r="AK12" s="673">
        <f>(2*AJ12)+(2*71)+(2*45)</f>
        <v>412</v>
      </c>
      <c r="AL12" s="673">
        <f>S12-AK12</f>
        <v>132</v>
      </c>
      <c r="AM12" s="624">
        <f>31+15</f>
        <v>46</v>
      </c>
      <c r="AN12" s="273">
        <f>(89)+(23)+AM12</f>
        <v>158</v>
      </c>
      <c r="AO12" s="274">
        <f>Z12-AN12</f>
        <v>51</v>
      </c>
      <c r="AP12" s="1056"/>
      <c r="AQ12" s="342" t="s">
        <v>635</v>
      </c>
      <c r="AR12" s="276">
        <f>H12</f>
        <v>166.52</v>
      </c>
      <c r="AS12" s="261">
        <f>Z12</f>
        <v>209</v>
      </c>
      <c r="AT12" s="261">
        <f>AN12</f>
        <v>158</v>
      </c>
      <c r="AU12" s="804">
        <f>S12-G12</f>
        <v>-247.19999999999993</v>
      </c>
      <c r="AV12" s="343">
        <f>S12-AK12</f>
        <v>132</v>
      </c>
      <c r="BC12" s="423"/>
      <c r="BD12" s="1141">
        <f t="shared" si="1"/>
        <v>4</v>
      </c>
      <c r="BE12" s="460"/>
      <c r="BH12" s="135"/>
      <c r="BI12" s="135"/>
      <c r="BJ12" s="135"/>
      <c r="BK12" s="135"/>
      <c r="BL12" s="135"/>
      <c r="BM12" s="135"/>
    </row>
    <row r="13" spans="1:67" ht="274" customHeight="1">
      <c r="C13" s="1384" t="s">
        <v>102</v>
      </c>
      <c r="D13" s="1819" t="s">
        <v>962</v>
      </c>
      <c r="E13" s="1737"/>
      <c r="F13" s="1006" t="s">
        <v>963</v>
      </c>
      <c r="G13" s="1006" t="s">
        <v>994</v>
      </c>
      <c r="H13" s="1238" t="s">
        <v>345</v>
      </c>
      <c r="I13" s="1003"/>
      <c r="J13" s="974"/>
      <c r="K13" s="399"/>
      <c r="L13" s="1376" t="s">
        <v>218</v>
      </c>
      <c r="M13" s="1031"/>
      <c r="N13" s="1031"/>
      <c r="O13" s="1032" t="s">
        <v>105</v>
      </c>
      <c r="P13" s="1032"/>
      <c r="Q13" s="1032"/>
      <c r="R13" s="26"/>
      <c r="S13" s="1338" t="s">
        <v>972</v>
      </c>
      <c r="T13" s="645" t="s">
        <v>964</v>
      </c>
      <c r="U13" s="1350" t="s">
        <v>999</v>
      </c>
      <c r="V13" s="233"/>
      <c r="W13" s="233"/>
      <c r="X13" s="53"/>
      <c r="Y13" s="112"/>
      <c r="Z13" s="1350" t="s">
        <v>976</v>
      </c>
      <c r="AB13" s="1260" t="s">
        <v>349</v>
      </c>
      <c r="AC13" s="1396" t="s">
        <v>965</v>
      </c>
      <c r="AD13" s="1260" t="s">
        <v>350</v>
      </c>
      <c r="AE13" s="142" t="s">
        <v>105</v>
      </c>
      <c r="AF13" s="246"/>
      <c r="AG13" s="1350" t="s">
        <v>976</v>
      </c>
      <c r="AH13" s="1171"/>
      <c r="AI13" s="1426" t="s">
        <v>707</v>
      </c>
      <c r="AJ13" s="1544" t="s">
        <v>1147</v>
      </c>
      <c r="AK13" s="204"/>
      <c r="AL13" s="222"/>
      <c r="AM13" s="222"/>
      <c r="AN13" s="1375" t="s">
        <v>885</v>
      </c>
      <c r="AO13" s="208"/>
      <c r="AP13" s="1053"/>
      <c r="AQ13" s="1967"/>
      <c r="AR13" s="1968"/>
      <c r="AS13" s="1968"/>
      <c r="AT13" s="1968"/>
      <c r="AU13" s="1968"/>
      <c r="AZ13" s="14"/>
      <c r="BA13" s="7"/>
      <c r="BB13" s="7"/>
      <c r="BC13" s="133"/>
      <c r="BL13" s="3"/>
      <c r="BM13" s="5"/>
      <c r="BN13" s="13"/>
      <c r="BO13" s="16"/>
    </row>
    <row r="14" spans="1:67" s="14" customFormat="1">
      <c r="A14" s="927"/>
      <c r="B14" s="143"/>
      <c r="C14" s="81"/>
      <c r="D14" s="81"/>
      <c r="E14" s="60"/>
      <c r="F14" s="60"/>
      <c r="G14" s="60"/>
      <c r="H14" s="167"/>
      <c r="I14" s="171"/>
      <c r="J14" s="171"/>
      <c r="K14" s="171"/>
      <c r="L14" s="171"/>
      <c r="N14" s="171"/>
      <c r="O14" s="171"/>
      <c r="P14" s="171"/>
      <c r="Q14" s="171"/>
      <c r="R14" s="224"/>
      <c r="S14" s="52"/>
      <c r="T14" s="52"/>
      <c r="U14" s="52"/>
      <c r="V14" s="52"/>
      <c r="W14" s="52"/>
      <c r="X14" s="52"/>
      <c r="Y14" s="160"/>
      <c r="Z14" s="160"/>
      <c r="AA14" s="136"/>
      <c r="AB14" s="101"/>
      <c r="AC14" s="225"/>
      <c r="AD14" s="225"/>
      <c r="AE14" s="225"/>
      <c r="AF14" s="160"/>
      <c r="AG14" s="220"/>
      <c r="AH14" s="160"/>
      <c r="AI14" s="1095"/>
      <c r="AJ14" s="147"/>
      <c r="AK14" s="72"/>
      <c r="AL14" s="222"/>
      <c r="AM14" s="222"/>
      <c r="AN14" s="160"/>
      <c r="AO14" s="160"/>
      <c r="AP14" s="1053"/>
      <c r="AQ14" s="49"/>
      <c r="AR14" s="29"/>
      <c r="AS14" s="28"/>
      <c r="AT14" s="107"/>
      <c r="AU14" s="218"/>
      <c r="AV14" s="95"/>
      <c r="AW14" s="95" t="s">
        <v>105</v>
      </c>
      <c r="BA14" s="49"/>
      <c r="BB14" s="49"/>
      <c r="BC14" s="223"/>
      <c r="BD14" s="216"/>
      <c r="BE14" s="216"/>
      <c r="BL14" s="12"/>
      <c r="BM14" s="39"/>
      <c r="BN14" s="66"/>
      <c r="BO14" s="29"/>
    </row>
    <row r="15" spans="1:67" s="14" customFormat="1">
      <c r="A15" s="927"/>
      <c r="B15" s="143"/>
      <c r="C15" s="81"/>
      <c r="D15" s="81"/>
      <c r="E15" s="169"/>
      <c r="F15" s="169"/>
      <c r="G15" s="169"/>
      <c r="H15" s="167"/>
      <c r="I15" s="171"/>
      <c r="J15" s="171"/>
      <c r="K15" s="171"/>
      <c r="L15" s="171"/>
      <c r="M15" s="171"/>
      <c r="N15" s="171"/>
      <c r="O15" s="171"/>
      <c r="P15" s="171"/>
      <c r="Q15" s="171"/>
      <c r="R15" s="219"/>
      <c r="S15" s="52"/>
      <c r="T15" s="52"/>
      <c r="U15" s="52"/>
      <c r="V15" s="52"/>
      <c r="W15" s="52"/>
      <c r="X15" s="52"/>
      <c r="Y15" s="160"/>
      <c r="Z15" s="160"/>
      <c r="AC15" s="136"/>
      <c r="AD15" s="136"/>
      <c r="AE15" s="136"/>
      <c r="AF15" s="160"/>
      <c r="AG15" s="220"/>
      <c r="AH15" s="160"/>
      <c r="AI15" s="1095"/>
      <c r="AJ15" s="147"/>
      <c r="AK15" s="221"/>
      <c r="AL15" s="222"/>
      <c r="AM15" s="222"/>
      <c r="AN15" s="160"/>
      <c r="AO15" s="160"/>
      <c r="AP15" s="1053"/>
      <c r="AQ15" s="49"/>
      <c r="AR15" s="29"/>
      <c r="AS15" s="28"/>
      <c r="AT15" s="107"/>
      <c r="AU15" s="218"/>
      <c r="BA15" s="49"/>
      <c r="BB15" s="49"/>
      <c r="BC15" s="223"/>
      <c r="BD15" s="216"/>
      <c r="BE15" s="216"/>
      <c r="BL15" s="12"/>
      <c r="BM15" s="39"/>
      <c r="BN15" s="66"/>
      <c r="BO15" s="29"/>
    </row>
    <row r="16" spans="1:67" s="1229" customFormat="1" ht="33" customHeight="1">
      <c r="A16" s="1329"/>
      <c r="B16" s="1566" t="s">
        <v>97</v>
      </c>
      <c r="C16" s="1572" t="s">
        <v>35</v>
      </c>
      <c r="D16" s="1820" t="s">
        <v>2</v>
      </c>
      <c r="E16" s="1821"/>
      <c r="F16" s="1821"/>
      <c r="G16" s="1821"/>
      <c r="H16" s="1821"/>
      <c r="I16" s="1822"/>
      <c r="J16" s="1788" t="s">
        <v>645</v>
      </c>
      <c r="K16" s="1789"/>
      <c r="L16" s="1790"/>
      <c r="M16" s="1790"/>
      <c r="N16" s="1790"/>
      <c r="O16" s="1790"/>
      <c r="P16" s="1791"/>
      <c r="Q16" s="1790"/>
      <c r="R16" s="1684" t="s">
        <v>882</v>
      </c>
      <c r="S16" s="1779"/>
      <c r="T16" s="1786" t="s">
        <v>664</v>
      </c>
      <c r="U16" s="1787"/>
      <c r="V16" s="1787"/>
      <c r="W16" s="1787"/>
      <c r="X16" s="1787"/>
      <c r="Y16" s="1811" t="s">
        <v>648</v>
      </c>
      <c r="Z16" s="1812"/>
      <c r="AA16" s="1276"/>
      <c r="AB16" s="1276"/>
      <c r="AC16" s="1784" t="s">
        <v>162</v>
      </c>
      <c r="AD16" s="1785"/>
      <c r="AE16" s="1785"/>
      <c r="AF16" s="1782" t="s">
        <v>883</v>
      </c>
      <c r="AG16" s="1974"/>
      <c r="AH16" s="1412"/>
      <c r="AI16" s="1823" t="s">
        <v>167</v>
      </c>
      <c r="AJ16" s="1906"/>
      <c r="AK16" s="1906"/>
      <c r="AL16" s="1906"/>
      <c r="AM16" s="1906"/>
      <c r="AN16" s="1907"/>
      <c r="AO16" s="1278"/>
      <c r="AP16" s="1419"/>
      <c r="AQ16" s="1420"/>
      <c r="AR16" s="1420"/>
      <c r="AS16" s="1420"/>
      <c r="AT16" s="1420"/>
      <c r="AU16" s="1420"/>
      <c r="AV16" s="1420"/>
      <c r="AW16" s="1420"/>
      <c r="AX16" s="1421"/>
      <c r="AY16" s="1422"/>
      <c r="AZ16" s="1422"/>
      <c r="BA16" s="1422"/>
      <c r="BB16" s="1422"/>
      <c r="BC16" s="1423"/>
      <c r="BD16" s="1389"/>
      <c r="BE16" s="1389"/>
    </row>
    <row r="17" spans="1:67" s="180" customFormat="1">
      <c r="A17" s="934"/>
      <c r="B17" s="269"/>
      <c r="C17" s="505"/>
      <c r="D17" s="250">
        <v>1</v>
      </c>
      <c r="E17" s="251">
        <f t="shared" ref="E17:AO17" si="3">D17+1</f>
        <v>2</v>
      </c>
      <c r="F17" s="251">
        <f t="shared" si="3"/>
        <v>3</v>
      </c>
      <c r="G17" s="251">
        <f t="shared" si="3"/>
        <v>4</v>
      </c>
      <c r="H17" s="251">
        <f t="shared" si="3"/>
        <v>5</v>
      </c>
      <c r="I17" s="252">
        <f t="shared" si="3"/>
        <v>6</v>
      </c>
      <c r="J17" s="250">
        <f t="shared" si="3"/>
        <v>7</v>
      </c>
      <c r="K17" s="251">
        <f t="shared" si="3"/>
        <v>8</v>
      </c>
      <c r="L17" s="251">
        <f t="shared" si="3"/>
        <v>9</v>
      </c>
      <c r="M17" s="251">
        <f t="shared" si="3"/>
        <v>10</v>
      </c>
      <c r="N17" s="251">
        <f t="shared" si="3"/>
        <v>11</v>
      </c>
      <c r="O17" s="251">
        <f t="shared" si="3"/>
        <v>12</v>
      </c>
      <c r="P17" s="251">
        <f t="shared" si="3"/>
        <v>13</v>
      </c>
      <c r="Q17" s="251">
        <f t="shared" si="3"/>
        <v>14</v>
      </c>
      <c r="R17" s="250">
        <f t="shared" si="3"/>
        <v>15</v>
      </c>
      <c r="S17" s="252">
        <f t="shared" si="3"/>
        <v>16</v>
      </c>
      <c r="T17" s="250">
        <f t="shared" si="3"/>
        <v>17</v>
      </c>
      <c r="U17" s="251">
        <f t="shared" si="3"/>
        <v>18</v>
      </c>
      <c r="V17" s="251">
        <f t="shared" si="3"/>
        <v>19</v>
      </c>
      <c r="W17" s="251">
        <f t="shared" si="3"/>
        <v>20</v>
      </c>
      <c r="X17" s="251">
        <f t="shared" si="3"/>
        <v>21</v>
      </c>
      <c r="Y17" s="1036">
        <f t="shared" si="3"/>
        <v>22</v>
      </c>
      <c r="Z17" s="1034">
        <f t="shared" si="3"/>
        <v>23</v>
      </c>
      <c r="AA17" s="250">
        <f t="shared" si="3"/>
        <v>24</v>
      </c>
      <c r="AB17" s="252">
        <f t="shared" si="3"/>
        <v>25</v>
      </c>
      <c r="AC17" s="250">
        <f t="shared" si="3"/>
        <v>26</v>
      </c>
      <c r="AD17" s="251">
        <f t="shared" si="3"/>
        <v>27</v>
      </c>
      <c r="AE17" s="251">
        <f t="shared" si="3"/>
        <v>28</v>
      </c>
      <c r="AF17" s="1033">
        <f t="shared" si="3"/>
        <v>29</v>
      </c>
      <c r="AG17" s="1033">
        <f t="shared" si="3"/>
        <v>30</v>
      </c>
      <c r="AH17" s="1170">
        <f>AG17+1</f>
        <v>31</v>
      </c>
      <c r="AI17" s="109">
        <f>AH17+1</f>
        <v>32</v>
      </c>
      <c r="AJ17" s="50">
        <f>AI17+1</f>
        <v>33</v>
      </c>
      <c r="AK17" s="251">
        <f t="shared" si="3"/>
        <v>34</v>
      </c>
      <c r="AL17" s="251">
        <f t="shared" si="3"/>
        <v>35</v>
      </c>
      <c r="AM17" s="50">
        <f>AL17+1</f>
        <v>36</v>
      </c>
      <c r="AN17" s="110">
        <f>AM17+1</f>
        <v>37</v>
      </c>
      <c r="AO17" s="252">
        <f t="shared" si="3"/>
        <v>38</v>
      </c>
      <c r="AP17" s="1058"/>
      <c r="AQ17" s="253"/>
      <c r="AR17" s="253"/>
      <c r="AS17" s="540"/>
      <c r="AT17" s="254"/>
      <c r="AU17" s="255"/>
      <c r="AV17" s="256"/>
      <c r="AW17" s="256"/>
      <c r="AX17" s="256"/>
      <c r="AY17" s="256"/>
      <c r="AZ17" s="256"/>
      <c r="BA17" s="256"/>
      <c r="BB17" s="256"/>
      <c r="BC17" s="257"/>
      <c r="BD17" s="257"/>
      <c r="BE17" s="257"/>
    </row>
    <row r="18" spans="1:67" ht="137" customHeight="1">
      <c r="B18" s="426"/>
      <c r="C18" s="1384" t="s">
        <v>967</v>
      </c>
      <c r="D18" s="1234" t="s">
        <v>358</v>
      </c>
      <c r="E18" s="1235" t="s">
        <v>245</v>
      </c>
      <c r="F18" s="1235" t="s">
        <v>246</v>
      </c>
      <c r="G18" s="1240" t="s">
        <v>234</v>
      </c>
      <c r="H18" s="805" t="s">
        <v>1028</v>
      </c>
      <c r="I18" s="1002" t="s">
        <v>248</v>
      </c>
      <c r="J18" s="1240" t="s">
        <v>370</v>
      </c>
      <c r="K18" s="1240" t="s">
        <v>371</v>
      </c>
      <c r="L18" s="1240" t="s">
        <v>640</v>
      </c>
      <c r="M18" s="1373" t="s">
        <v>971</v>
      </c>
      <c r="N18" s="1240" t="s">
        <v>253</v>
      </c>
      <c r="O18" s="1240" t="s">
        <v>254</v>
      </c>
      <c r="P18" s="1240" t="s">
        <v>255</v>
      </c>
      <c r="Q18" s="1373" t="s">
        <v>256</v>
      </c>
      <c r="R18" s="602" t="s">
        <v>257</v>
      </c>
      <c r="S18" s="400" t="s">
        <v>363</v>
      </c>
      <c r="T18" s="1013" t="s">
        <v>372</v>
      </c>
      <c r="U18" s="1010" t="s">
        <v>373</v>
      </c>
      <c r="V18" s="1010" t="s">
        <v>366</v>
      </c>
      <c r="W18" s="1010" t="s">
        <v>261</v>
      </c>
      <c r="X18" s="872" t="s">
        <v>367</v>
      </c>
      <c r="Y18" s="523" t="s">
        <v>995</v>
      </c>
      <c r="Z18" s="599" t="s">
        <v>996</v>
      </c>
      <c r="AA18" s="1010" t="s">
        <v>265</v>
      </c>
      <c r="AB18" s="1010" t="s">
        <v>266</v>
      </c>
      <c r="AC18" s="1266" t="s">
        <v>267</v>
      </c>
      <c r="AD18" s="1010" t="s">
        <v>374</v>
      </c>
      <c r="AE18" s="1010" t="s">
        <v>269</v>
      </c>
      <c r="AF18" s="605" t="s">
        <v>350</v>
      </c>
      <c r="AG18" s="1168" t="s">
        <v>270</v>
      </c>
      <c r="AH18" s="1023" t="s">
        <v>271</v>
      </c>
      <c r="AI18" s="1266" t="s">
        <v>808</v>
      </c>
      <c r="AJ18" s="1267" t="s">
        <v>809</v>
      </c>
      <c r="AK18" s="1312" t="s">
        <v>14</v>
      </c>
      <c r="AL18" s="1269" t="s">
        <v>1</v>
      </c>
      <c r="AM18" s="1010" t="s">
        <v>810</v>
      </c>
      <c r="AN18" s="1002" t="s">
        <v>746</v>
      </c>
      <c r="AO18" s="239" t="s">
        <v>272</v>
      </c>
      <c r="AP18" s="1059"/>
      <c r="AQ18" s="1311" t="s">
        <v>636</v>
      </c>
      <c r="AR18" s="805" t="s">
        <v>357</v>
      </c>
      <c r="AS18" s="988" t="s">
        <v>273</v>
      </c>
      <c r="AT18" s="805" t="s">
        <v>746</v>
      </c>
      <c r="AU18" s="1008" t="s">
        <v>811</v>
      </c>
      <c r="AV18" s="1008" t="s">
        <v>745</v>
      </c>
      <c r="AY18" s="241"/>
      <c r="AZ18" s="242"/>
      <c r="BA18" s="195"/>
      <c r="BB18" s="15"/>
      <c r="BC18" s="158"/>
      <c r="BD18" s="1149" t="s">
        <v>822</v>
      </c>
      <c r="BE18" s="234"/>
      <c r="BF18" s="235"/>
      <c r="BH18" s="970"/>
      <c r="BI18" s="970"/>
      <c r="BJ18" s="970"/>
      <c r="BK18" s="970"/>
      <c r="BL18" s="970"/>
      <c r="BM18" s="970"/>
    </row>
    <row r="19" spans="1:67" s="298" customFormat="1">
      <c r="A19" s="896">
        <f>A12+1</f>
        <v>6</v>
      </c>
      <c r="B19" s="889">
        <f>B12+1</f>
        <v>5</v>
      </c>
      <c r="C19" s="344" t="s">
        <v>573</v>
      </c>
      <c r="D19" s="607">
        <v>330</v>
      </c>
      <c r="E19" s="656">
        <f>2*D19</f>
        <v>660</v>
      </c>
      <c r="F19" s="650">
        <f>2*314</f>
        <v>628</v>
      </c>
      <c r="G19" s="1335">
        <f>F19*1.15</f>
        <v>722.19999999999993</v>
      </c>
      <c r="H19" s="274">
        <f>(E19*0.23)</f>
        <v>151.80000000000001</v>
      </c>
      <c r="I19" s="273">
        <f>0.5*(H19*1.1)</f>
        <v>83.490000000000009</v>
      </c>
      <c r="J19" s="671" t="s">
        <v>136</v>
      </c>
      <c r="K19" s="671" t="s">
        <v>136</v>
      </c>
      <c r="L19" s="650">
        <f>311-67</f>
        <v>244</v>
      </c>
      <c r="M19" s="671" t="s">
        <v>136</v>
      </c>
      <c r="N19" s="671" t="s">
        <v>136</v>
      </c>
      <c r="O19" s="671" t="s">
        <v>136</v>
      </c>
      <c r="P19" s="671" t="s">
        <v>136</v>
      </c>
      <c r="Q19" s="656">
        <f>SUM(J19:P19)</f>
        <v>244</v>
      </c>
      <c r="R19" s="610">
        <f>2*Q19</f>
        <v>488</v>
      </c>
      <c r="S19" s="690">
        <f>R19+(2*71)</f>
        <v>630</v>
      </c>
      <c r="T19" s="651" t="s">
        <v>154</v>
      </c>
      <c r="U19" s="624">
        <v>93</v>
      </c>
      <c r="V19" s="648" t="s">
        <v>154</v>
      </c>
      <c r="W19" s="648" t="s">
        <v>154</v>
      </c>
      <c r="X19" s="649">
        <f>SUM(T19:W19)</f>
        <v>93</v>
      </c>
      <c r="Y19" s="524">
        <f>2*X19</f>
        <v>186</v>
      </c>
      <c r="Z19" s="525">
        <f>Y19+(23)</f>
        <v>209</v>
      </c>
      <c r="AA19" s="624">
        <f>Z19-H19</f>
        <v>57.199999999999989</v>
      </c>
      <c r="AB19" s="653">
        <f>(Z19)-(I19)</f>
        <v>125.50999999999999</v>
      </c>
      <c r="AC19" s="1363">
        <f>480-78</f>
        <v>402</v>
      </c>
      <c r="AD19" s="624">
        <f>(33.89)+(AC19*0.2095)</f>
        <v>118.10899999999999</v>
      </c>
      <c r="AE19" s="624">
        <f>X19-U19+AD19</f>
        <v>118.10899999999999</v>
      </c>
      <c r="AF19" s="281">
        <f>2*AE19</f>
        <v>236.21799999999999</v>
      </c>
      <c r="AG19" s="444">
        <f>AF19+(23)</f>
        <v>259.21799999999996</v>
      </c>
      <c r="AH19" s="659">
        <f>AG19-(I19)</f>
        <v>175.72799999999995</v>
      </c>
      <c r="AI19" s="1263" t="s">
        <v>776</v>
      </c>
      <c r="AJ19" s="673">
        <v>74</v>
      </c>
      <c r="AK19" s="673">
        <f>(2*AJ19)+(2*71)+(2*45)</f>
        <v>380</v>
      </c>
      <c r="AL19" s="673">
        <f>S19-AK19</f>
        <v>250</v>
      </c>
      <c r="AM19" s="624">
        <v>15</v>
      </c>
      <c r="AN19" s="273">
        <f>121+(23)+AM19</f>
        <v>159</v>
      </c>
      <c r="AO19" s="274">
        <f>Z19-AN19</f>
        <v>50</v>
      </c>
      <c r="AP19" s="1056"/>
      <c r="AQ19" s="361" t="s">
        <v>174</v>
      </c>
      <c r="AR19" s="276">
        <f>H19</f>
        <v>151.80000000000001</v>
      </c>
      <c r="AS19" s="261">
        <f>Z19</f>
        <v>209</v>
      </c>
      <c r="AT19" s="261">
        <f>AN19</f>
        <v>159</v>
      </c>
      <c r="AU19" s="804">
        <f>S19-G19</f>
        <v>-92.199999999999932</v>
      </c>
      <c r="AV19" s="343">
        <f>S19-AK19</f>
        <v>250</v>
      </c>
      <c r="BC19" s="385"/>
      <c r="BD19" s="1153">
        <f>B19</f>
        <v>5</v>
      </c>
      <c r="BE19" s="972"/>
      <c r="BH19" s="135"/>
    </row>
    <row r="20" spans="1:67" s="351" customFormat="1" ht="14" customHeight="1">
      <c r="A20" s="896">
        <f t="shared" ref="A20:B23" si="4">A19+1</f>
        <v>7</v>
      </c>
      <c r="B20" s="889">
        <f t="shared" si="4"/>
        <v>6</v>
      </c>
      <c r="C20" s="350" t="s">
        <v>216</v>
      </c>
      <c r="D20" s="607">
        <v>338</v>
      </c>
      <c r="E20" s="862">
        <f>2*D20</f>
        <v>676</v>
      </c>
      <c r="F20" s="862">
        <f>2*326</f>
        <v>652</v>
      </c>
      <c r="G20" s="1335">
        <f>F20*1.15</f>
        <v>749.8</v>
      </c>
      <c r="H20" s="274">
        <f>(E20*0.23)</f>
        <v>155.48000000000002</v>
      </c>
      <c r="I20" s="273">
        <f>0.5*(H20*1.1)</f>
        <v>85.51400000000001</v>
      </c>
      <c r="J20" s="671" t="s">
        <v>136</v>
      </c>
      <c r="K20" s="671" t="s">
        <v>136</v>
      </c>
      <c r="L20" s="862">
        <f>323-67</f>
        <v>256</v>
      </c>
      <c r="M20" s="671" t="s">
        <v>136</v>
      </c>
      <c r="N20" s="671" t="s">
        <v>136</v>
      </c>
      <c r="O20" s="671" t="s">
        <v>136</v>
      </c>
      <c r="P20" s="671" t="s">
        <v>136</v>
      </c>
      <c r="Q20" s="671">
        <f>SUM(J20:P20)</f>
        <v>256</v>
      </c>
      <c r="R20" s="610">
        <f>2*Q20</f>
        <v>512</v>
      </c>
      <c r="S20" s="690">
        <f>R20+(2*71)</f>
        <v>654</v>
      </c>
      <c r="T20" s="644" t="s">
        <v>12</v>
      </c>
      <c r="U20" s="624">
        <v>93</v>
      </c>
      <c r="V20" s="639" t="s">
        <v>12</v>
      </c>
      <c r="W20" s="639" t="s">
        <v>12</v>
      </c>
      <c r="X20" s="649">
        <f>SUM(T20:W20)</f>
        <v>93</v>
      </c>
      <c r="Y20" s="524">
        <f>2*X20</f>
        <v>186</v>
      </c>
      <c r="Z20" s="525">
        <f>Y20+(23)</f>
        <v>209</v>
      </c>
      <c r="AA20" s="624">
        <f>Z20-H20</f>
        <v>53.519999999999982</v>
      </c>
      <c r="AB20" s="653">
        <f>Z20-I20</f>
        <v>123.48599999999999</v>
      </c>
      <c r="AC20" s="968">
        <v>415</v>
      </c>
      <c r="AD20" s="624">
        <f>(33.89)+(AC20*0.2095)</f>
        <v>120.8325</v>
      </c>
      <c r="AE20" s="624">
        <f>X20-U20+AD20</f>
        <v>120.8325</v>
      </c>
      <c r="AF20" s="281">
        <f>2*AE20</f>
        <v>241.66499999999999</v>
      </c>
      <c r="AG20" s="444">
        <f>AF20+(23)</f>
        <v>264.66499999999996</v>
      </c>
      <c r="AH20" s="659">
        <f>AG20-I20</f>
        <v>179.15099999999995</v>
      </c>
      <c r="AI20" s="1263" t="s">
        <v>776</v>
      </c>
      <c r="AJ20" s="673">
        <v>74</v>
      </c>
      <c r="AK20" s="673">
        <f>(2*AJ20)+(2*71)+(2*45)</f>
        <v>380</v>
      </c>
      <c r="AL20" s="673">
        <f>S20-AK20</f>
        <v>274</v>
      </c>
      <c r="AM20" s="624">
        <v>15</v>
      </c>
      <c r="AN20" s="273">
        <f>121+(23)+AM20</f>
        <v>159</v>
      </c>
      <c r="AO20" s="261">
        <f>Z20-AN20</f>
        <v>50</v>
      </c>
      <c r="AP20" s="1060"/>
      <c r="AQ20" s="350" t="s">
        <v>103</v>
      </c>
      <c r="AR20" s="276">
        <f>H20</f>
        <v>155.48000000000002</v>
      </c>
      <c r="AS20" s="261">
        <f>Z20</f>
        <v>209</v>
      </c>
      <c r="AT20" s="261">
        <f>AN20</f>
        <v>159</v>
      </c>
      <c r="AU20" s="804">
        <f>S20-G20</f>
        <v>-95.799999999999955</v>
      </c>
      <c r="AV20" s="343">
        <f>S20-AK20</f>
        <v>274</v>
      </c>
      <c r="BC20" s="352"/>
      <c r="BD20" s="1153">
        <f t="shared" ref="BD20:BD23" si="5">B20</f>
        <v>6</v>
      </c>
      <c r="BE20" s="973"/>
      <c r="BF20" s="353"/>
      <c r="BH20" s="135"/>
    </row>
    <row r="21" spans="1:67" s="298" customFormat="1">
      <c r="A21" s="896">
        <f t="shared" si="4"/>
        <v>8</v>
      </c>
      <c r="B21" s="889">
        <f t="shared" si="4"/>
        <v>7</v>
      </c>
      <c r="C21" s="350" t="s">
        <v>970</v>
      </c>
      <c r="D21" s="607">
        <v>342</v>
      </c>
      <c r="E21" s="656">
        <f>2*D21</f>
        <v>684</v>
      </c>
      <c r="F21" s="862">
        <f>(2*318)</f>
        <v>636</v>
      </c>
      <c r="G21" s="1335">
        <f>F21*1.15</f>
        <v>731.4</v>
      </c>
      <c r="H21" s="274">
        <f>(E21*0.23)</f>
        <v>157.32</v>
      </c>
      <c r="I21" s="273">
        <f>0.5*(H21*1.1)</f>
        <v>86.525999999999996</v>
      </c>
      <c r="J21" s="671" t="s">
        <v>136</v>
      </c>
      <c r="K21" s="671" t="s">
        <v>136</v>
      </c>
      <c r="L21" s="671">
        <v>145</v>
      </c>
      <c r="M21" s="671" t="s">
        <v>136</v>
      </c>
      <c r="N21" s="671" t="s">
        <v>136</v>
      </c>
      <c r="O21" s="671" t="s">
        <v>136</v>
      </c>
      <c r="P21" s="671" t="s">
        <v>136</v>
      </c>
      <c r="Q21" s="671">
        <f>SUM(J21:P21)</f>
        <v>145</v>
      </c>
      <c r="R21" s="610">
        <f>2*Q21</f>
        <v>290</v>
      </c>
      <c r="S21" s="690">
        <f>R21+(2*71)</f>
        <v>432</v>
      </c>
      <c r="T21" s="644" t="s">
        <v>12</v>
      </c>
      <c r="U21" s="624">
        <v>93</v>
      </c>
      <c r="V21" s="639" t="s">
        <v>12</v>
      </c>
      <c r="W21" s="639" t="s">
        <v>12</v>
      </c>
      <c r="X21" s="649">
        <f>SUM(T21:W21)</f>
        <v>93</v>
      </c>
      <c r="Y21" s="524">
        <f>2*X21</f>
        <v>186</v>
      </c>
      <c r="Z21" s="525">
        <f>Y21+(23)</f>
        <v>209</v>
      </c>
      <c r="AA21" s="623">
        <f>Z21-H21</f>
        <v>51.680000000000007</v>
      </c>
      <c r="AB21" s="653">
        <f>Z21-I21</f>
        <v>122.474</v>
      </c>
      <c r="AC21" s="1382">
        <f>(466-48)</f>
        <v>418</v>
      </c>
      <c r="AD21" s="624">
        <f>(33.89)+(AC21*0.2095)</f>
        <v>121.461</v>
      </c>
      <c r="AE21" s="624">
        <f>X21-U21+AD21</f>
        <v>121.461</v>
      </c>
      <c r="AF21" s="281">
        <f>2*AE21</f>
        <v>242.922</v>
      </c>
      <c r="AG21" s="444">
        <f>AF21+(23)</f>
        <v>265.92200000000003</v>
      </c>
      <c r="AH21" s="703">
        <f>AG21-I21</f>
        <v>179.39600000000002</v>
      </c>
      <c r="AI21" s="1263" t="s">
        <v>776</v>
      </c>
      <c r="AJ21" s="673">
        <v>74</v>
      </c>
      <c r="AK21" s="673">
        <f>(2*AJ21)+(2*71)+(2*45)</f>
        <v>380</v>
      </c>
      <c r="AL21" s="673">
        <f>S21-AK21</f>
        <v>52</v>
      </c>
      <c r="AM21" s="647" t="s">
        <v>12</v>
      </c>
      <c r="AN21" s="273">
        <f>121+(23)</f>
        <v>144</v>
      </c>
      <c r="AO21" s="261">
        <f>Z21-AN21</f>
        <v>65</v>
      </c>
      <c r="AP21" s="1055"/>
      <c r="AQ21" s="350" t="s">
        <v>689</v>
      </c>
      <c r="AR21" s="276">
        <f>H21</f>
        <v>157.32</v>
      </c>
      <c r="AS21" s="261">
        <f>Z21</f>
        <v>209</v>
      </c>
      <c r="AT21" s="261">
        <f>AN21</f>
        <v>144</v>
      </c>
      <c r="AU21" s="804">
        <f>S21-G21</f>
        <v>-299.39999999999998</v>
      </c>
      <c r="AV21" s="343">
        <f>S21-AK21</f>
        <v>52</v>
      </c>
      <c r="BA21" s="349"/>
      <c r="BB21" s="349"/>
      <c r="BC21" s="236"/>
      <c r="BD21" s="1153">
        <f t="shared" si="5"/>
        <v>7</v>
      </c>
      <c r="BE21" s="371"/>
      <c r="BF21" s="372"/>
      <c r="BL21" s="270"/>
      <c r="BM21" s="359"/>
      <c r="BN21" s="360"/>
      <c r="BO21" s="276"/>
    </row>
    <row r="22" spans="1:67" s="180" customFormat="1">
      <c r="A22" s="896">
        <f t="shared" si="4"/>
        <v>9</v>
      </c>
      <c r="B22" s="889">
        <f t="shared" si="4"/>
        <v>8</v>
      </c>
      <c r="C22" s="342" t="s">
        <v>969</v>
      </c>
      <c r="D22" s="607">
        <v>381</v>
      </c>
      <c r="E22" s="656">
        <f>2*D22</f>
        <v>762</v>
      </c>
      <c r="F22" s="862">
        <f>(2*348)</f>
        <v>696</v>
      </c>
      <c r="G22" s="1335">
        <f>F22*1.15</f>
        <v>800.4</v>
      </c>
      <c r="H22" s="274">
        <f>(E22*0.23)</f>
        <v>175.26000000000002</v>
      </c>
      <c r="I22" s="273">
        <f>0.5*(H22*1.1)</f>
        <v>96.393000000000015</v>
      </c>
      <c r="J22" s="671" t="s">
        <v>136</v>
      </c>
      <c r="K22" s="671" t="s">
        <v>136</v>
      </c>
      <c r="L22" s="671">
        <v>188</v>
      </c>
      <c r="M22" s="671" t="s">
        <v>136</v>
      </c>
      <c r="N22" s="671" t="s">
        <v>136</v>
      </c>
      <c r="O22" s="671" t="s">
        <v>136</v>
      </c>
      <c r="P22" s="671" t="s">
        <v>136</v>
      </c>
      <c r="Q22" s="671">
        <f>SUM(J22:P22)</f>
        <v>188</v>
      </c>
      <c r="R22" s="610">
        <f>2*Q22</f>
        <v>376</v>
      </c>
      <c r="S22" s="690">
        <f>R22+(2*71)</f>
        <v>518</v>
      </c>
      <c r="T22" s="644" t="s">
        <v>12</v>
      </c>
      <c r="U22" s="624">
        <v>93</v>
      </c>
      <c r="V22" s="639" t="s">
        <v>12</v>
      </c>
      <c r="W22" s="639" t="s">
        <v>12</v>
      </c>
      <c r="X22" s="649">
        <f>SUM(T22:W22)</f>
        <v>93</v>
      </c>
      <c r="Y22" s="524">
        <f>2*X22</f>
        <v>186</v>
      </c>
      <c r="Z22" s="525">
        <f>Y22+(23)</f>
        <v>209</v>
      </c>
      <c r="AA22" s="623">
        <f>Z22-H22</f>
        <v>33.739999999999981</v>
      </c>
      <c r="AB22" s="653">
        <f>Z22-I22</f>
        <v>112.60699999999999</v>
      </c>
      <c r="AC22" s="1382">
        <f>(493-27)</f>
        <v>466</v>
      </c>
      <c r="AD22" s="624">
        <f>(33.89)+(AC22*0.2095)</f>
        <v>131.517</v>
      </c>
      <c r="AE22" s="624">
        <f>X22-U22+AD22</f>
        <v>131.517</v>
      </c>
      <c r="AF22" s="281">
        <f>2*AE22</f>
        <v>263.03399999999999</v>
      </c>
      <c r="AG22" s="444">
        <f>AF22+(23)</f>
        <v>286.03399999999999</v>
      </c>
      <c r="AH22" s="703">
        <f>AG22-I22</f>
        <v>189.64099999999996</v>
      </c>
      <c r="AI22" s="1263" t="s">
        <v>777</v>
      </c>
      <c r="AJ22" s="672">
        <v>90</v>
      </c>
      <c r="AK22" s="673">
        <f>(2*AJ22)+(2*71)+(2*45)</f>
        <v>412</v>
      </c>
      <c r="AL22" s="673">
        <f>S22-AK22</f>
        <v>106</v>
      </c>
      <c r="AM22" s="647" t="s">
        <v>12</v>
      </c>
      <c r="AN22" s="273">
        <f>89+(23)</f>
        <v>112</v>
      </c>
      <c r="AO22" s="261">
        <f>Z22-AN22</f>
        <v>97</v>
      </c>
      <c r="AP22" s="1055"/>
      <c r="AQ22" s="350" t="s">
        <v>749</v>
      </c>
      <c r="AR22" s="276">
        <f>H22</f>
        <v>175.26000000000002</v>
      </c>
      <c r="AS22" s="261">
        <f>Z22</f>
        <v>209</v>
      </c>
      <c r="AT22" s="261">
        <f>AN22</f>
        <v>112</v>
      </c>
      <c r="AU22" s="804">
        <f>S22-G22</f>
        <v>-282.39999999999998</v>
      </c>
      <c r="AV22" s="343">
        <f>S22-AK22</f>
        <v>106</v>
      </c>
      <c r="AZ22" s="298"/>
      <c r="BA22" s="355"/>
      <c r="BB22" s="355"/>
      <c r="BC22" s="236"/>
      <c r="BD22" s="1153">
        <f t="shared" si="5"/>
        <v>8</v>
      </c>
      <c r="BE22" s="371"/>
      <c r="BF22" s="380"/>
      <c r="BH22" s="298"/>
      <c r="BI22" s="298"/>
      <c r="BL22" s="275"/>
      <c r="BM22" s="357"/>
      <c r="BN22" s="358"/>
      <c r="BO22" s="183"/>
    </row>
    <row r="23" spans="1:67" s="180" customFormat="1">
      <c r="A23" s="896">
        <f t="shared" si="4"/>
        <v>10</v>
      </c>
      <c r="B23" s="889">
        <f t="shared" si="4"/>
        <v>9</v>
      </c>
      <c r="C23" s="342" t="s">
        <v>639</v>
      </c>
      <c r="D23" s="607">
        <v>394</v>
      </c>
      <c r="E23" s="656">
        <f>2*D23</f>
        <v>788</v>
      </c>
      <c r="F23" s="862">
        <f>(2*352)</f>
        <v>704</v>
      </c>
      <c r="G23" s="1335">
        <f>F23*1.15</f>
        <v>809.59999999999991</v>
      </c>
      <c r="H23" s="274">
        <f>(E23*0.23)</f>
        <v>181.24</v>
      </c>
      <c r="I23" s="274">
        <f>0.5*(H23*1.1)</f>
        <v>99.682000000000016</v>
      </c>
      <c r="J23" s="663">
        <v>81</v>
      </c>
      <c r="K23" s="671">
        <v>15</v>
      </c>
      <c r="L23" s="671">
        <v>188</v>
      </c>
      <c r="M23" s="671">
        <f>10+15</f>
        <v>25</v>
      </c>
      <c r="N23" s="671">
        <v>12</v>
      </c>
      <c r="O23" s="671" t="s">
        <v>136</v>
      </c>
      <c r="P23" s="671" t="s">
        <v>136</v>
      </c>
      <c r="Q23" s="671">
        <f>SUM(J23:P23)</f>
        <v>321</v>
      </c>
      <c r="R23" s="610">
        <f>2*Q23</f>
        <v>642</v>
      </c>
      <c r="S23" s="690">
        <f>R23+(2*71)</f>
        <v>784</v>
      </c>
      <c r="T23" s="644">
        <v>1.75</v>
      </c>
      <c r="U23" s="624">
        <v>93</v>
      </c>
      <c r="V23" s="639">
        <v>3.45</v>
      </c>
      <c r="W23" s="639" t="s">
        <v>12</v>
      </c>
      <c r="X23" s="649">
        <f>SUM(T23:W23)</f>
        <v>98.2</v>
      </c>
      <c r="Y23" s="524">
        <f>2*X23</f>
        <v>196.4</v>
      </c>
      <c r="Z23" s="525">
        <f>Y23+(23)</f>
        <v>219.4</v>
      </c>
      <c r="AA23" s="623">
        <f>Z23-H23</f>
        <v>38.159999999999997</v>
      </c>
      <c r="AB23" s="653">
        <f>Z23-I23</f>
        <v>119.71799999999999</v>
      </c>
      <c r="AC23" s="1382">
        <v>466</v>
      </c>
      <c r="AD23" s="624">
        <f>(33.89)+(AC23*0.2095)</f>
        <v>131.517</v>
      </c>
      <c r="AE23" s="624">
        <f>X23-U23+AD23</f>
        <v>136.71699999999998</v>
      </c>
      <c r="AF23" s="281">
        <f>2*AE23</f>
        <v>273.43399999999997</v>
      </c>
      <c r="AG23" s="444">
        <f>AF23+(23)</f>
        <v>296.43399999999997</v>
      </c>
      <c r="AH23" s="703">
        <f>AG23-I23</f>
        <v>196.75199999999995</v>
      </c>
      <c r="AI23" s="1263" t="s">
        <v>779</v>
      </c>
      <c r="AJ23" s="672">
        <v>76</v>
      </c>
      <c r="AK23" s="673">
        <f>(2*AJ23)+(2*71)+(2*45)</f>
        <v>384</v>
      </c>
      <c r="AL23" s="673">
        <f>S23-AK23</f>
        <v>400</v>
      </c>
      <c r="AM23" s="647" t="s">
        <v>12</v>
      </c>
      <c r="AN23" s="273">
        <f>122+(23)</f>
        <v>145</v>
      </c>
      <c r="AO23" s="261">
        <f>Z23-AN23</f>
        <v>74.400000000000006</v>
      </c>
      <c r="AP23" s="1055"/>
      <c r="AQ23" s="342" t="s">
        <v>214</v>
      </c>
      <c r="AR23" s="276">
        <f>H23</f>
        <v>181.24</v>
      </c>
      <c r="AS23" s="261">
        <f>Z23</f>
        <v>219.4</v>
      </c>
      <c r="AT23" s="261">
        <f>AN23</f>
        <v>145</v>
      </c>
      <c r="AU23" s="804">
        <f>S23-G23</f>
        <v>-25.599999999999909</v>
      </c>
      <c r="AV23" s="343">
        <f>S23-AK23</f>
        <v>400</v>
      </c>
      <c r="AZ23" s="298"/>
      <c r="BA23" s="355"/>
      <c r="BB23" s="355"/>
      <c r="BC23" s="236"/>
      <c r="BD23" s="1153">
        <f t="shared" si="5"/>
        <v>9</v>
      </c>
      <c r="BE23" s="392"/>
      <c r="BF23" s="380"/>
      <c r="BH23" s="298"/>
      <c r="BI23" s="298"/>
      <c r="BL23" s="275"/>
      <c r="BM23" s="357"/>
      <c r="BN23" s="358"/>
      <c r="BO23" s="183"/>
    </row>
    <row r="24" spans="1:67" ht="271" customHeight="1">
      <c r="C24" s="1384" t="s">
        <v>102</v>
      </c>
      <c r="D24" s="1819" t="s">
        <v>962</v>
      </c>
      <c r="E24" s="1737"/>
      <c r="F24" s="1374" t="s">
        <v>963</v>
      </c>
      <c r="G24" s="1374" t="s">
        <v>993</v>
      </c>
      <c r="H24" s="1238" t="s">
        <v>345</v>
      </c>
      <c r="I24" s="1003"/>
      <c r="J24" s="646" t="s">
        <v>968</v>
      </c>
      <c r="K24" s="1424" t="s">
        <v>217</v>
      </c>
      <c r="L24" s="1467" t="s">
        <v>1044</v>
      </c>
      <c r="M24" s="1424" t="s">
        <v>150</v>
      </c>
      <c r="N24" s="1424" t="s">
        <v>151</v>
      </c>
      <c r="O24" s="1425" t="s">
        <v>105</v>
      </c>
      <c r="P24" s="1425"/>
      <c r="Q24" s="1425"/>
      <c r="R24" s="26"/>
      <c r="S24" s="1338" t="s">
        <v>972</v>
      </c>
      <c r="T24" s="646" t="s">
        <v>973</v>
      </c>
      <c r="U24" s="1350" t="s">
        <v>999</v>
      </c>
      <c r="V24" s="1424" t="s">
        <v>151</v>
      </c>
      <c r="W24" s="1031"/>
      <c r="X24" s="1037"/>
      <c r="Y24" s="26"/>
      <c r="Z24" s="1350" t="s">
        <v>976</v>
      </c>
      <c r="AB24" s="1260" t="s">
        <v>349</v>
      </c>
      <c r="AC24" s="1362" t="s">
        <v>965</v>
      </c>
      <c r="AD24" s="1260" t="s">
        <v>350</v>
      </c>
      <c r="AE24" s="1035" t="s">
        <v>105</v>
      </c>
      <c r="AF24" s="246"/>
      <c r="AG24" s="1350" t="s">
        <v>976</v>
      </c>
      <c r="AH24" s="1163"/>
      <c r="AI24" s="1162"/>
      <c r="AJ24" s="1544" t="s">
        <v>1147</v>
      </c>
      <c r="AK24" s="204"/>
      <c r="AL24" s="129"/>
      <c r="AM24" s="129"/>
      <c r="AN24" s="1375" t="s">
        <v>885</v>
      </c>
    </row>
    <row r="25" spans="1:67" s="14" customFormat="1">
      <c r="A25" s="927"/>
      <c r="B25" s="81"/>
      <c r="C25" s="81"/>
      <c r="D25" s="60"/>
      <c r="E25" s="60"/>
      <c r="F25" s="167"/>
      <c r="G25" s="167"/>
      <c r="H25" s="171"/>
      <c r="I25" s="171"/>
      <c r="J25" s="171"/>
      <c r="K25" s="171"/>
      <c r="L25" s="171"/>
      <c r="M25" s="171"/>
      <c r="N25" s="171"/>
      <c r="O25" s="171"/>
      <c r="P25" s="171"/>
      <c r="Q25" s="171"/>
      <c r="R25" s="52"/>
      <c r="S25" s="52"/>
      <c r="T25" s="52"/>
      <c r="U25" s="52"/>
      <c r="V25" s="52"/>
      <c r="W25" s="52"/>
      <c r="X25" s="52"/>
      <c r="Y25" s="160"/>
      <c r="Z25" s="136"/>
      <c r="AA25" s="101"/>
      <c r="AB25" s="225"/>
      <c r="AC25" s="225"/>
      <c r="AD25" s="225"/>
      <c r="AE25" s="225"/>
      <c r="AF25" s="220"/>
      <c r="AG25" s="160"/>
      <c r="AH25" s="147"/>
      <c r="AI25" s="147"/>
      <c r="AJ25" s="72"/>
      <c r="AK25" s="222"/>
      <c r="AL25" s="160"/>
      <c r="AM25" s="983"/>
      <c r="AN25" s="160"/>
      <c r="AO25" s="232"/>
      <c r="AP25" s="1061"/>
      <c r="AQ25" s="80"/>
      <c r="AR25" s="240"/>
      <c r="AS25" s="238"/>
      <c r="AT25" s="29"/>
      <c r="AU25" s="238"/>
      <c r="AV25" s="202"/>
      <c r="AY25" s="36"/>
      <c r="AZ25" s="152"/>
      <c r="BB25" s="90"/>
      <c r="BC25" s="157"/>
      <c r="BD25" s="156"/>
      <c r="BE25" s="155"/>
      <c r="BF25" s="154"/>
    </row>
    <row r="26" spans="1:67" s="14" customFormat="1">
      <c r="A26" s="927"/>
      <c r="B26" s="81"/>
      <c r="C26" s="81"/>
      <c r="D26" s="60"/>
      <c r="E26" s="60"/>
      <c r="F26" s="167"/>
      <c r="G26" s="167"/>
      <c r="H26" s="171"/>
      <c r="I26" s="171"/>
      <c r="J26" s="171"/>
      <c r="K26" s="171"/>
      <c r="L26" s="171"/>
      <c r="M26" s="171"/>
      <c r="N26" s="171"/>
      <c r="O26" s="171"/>
      <c r="P26" s="171"/>
      <c r="Q26" s="171"/>
      <c r="R26" s="52"/>
      <c r="S26" s="52"/>
      <c r="T26" s="52"/>
      <c r="U26" s="52"/>
      <c r="V26" s="52"/>
      <c r="W26" s="52"/>
      <c r="X26" s="52"/>
      <c r="Y26" s="807"/>
      <c r="Z26" s="136"/>
      <c r="AA26" s="101"/>
      <c r="AB26" s="225"/>
      <c r="AC26" s="225"/>
      <c r="AD26" s="225"/>
      <c r="AE26" s="225"/>
      <c r="AF26" s="220"/>
      <c r="AG26" s="807"/>
      <c r="AH26" s="147"/>
      <c r="AI26" s="147"/>
      <c r="AJ26" s="72"/>
      <c r="AK26" s="222"/>
      <c r="AL26" s="807"/>
      <c r="AM26" s="983"/>
      <c r="AN26" s="807"/>
      <c r="AO26" s="232"/>
      <c r="AP26" s="1061"/>
      <c r="AQ26" s="80"/>
      <c r="AR26" s="240"/>
      <c r="AS26" s="238"/>
      <c r="AT26" s="29"/>
      <c r="AU26" s="238"/>
      <c r="AV26" s="202"/>
      <c r="AY26" s="36"/>
      <c r="AZ26" s="152"/>
      <c r="BB26" s="90"/>
      <c r="BC26" s="157"/>
      <c r="BD26" s="156"/>
      <c r="BE26" s="155"/>
      <c r="BF26" s="154"/>
    </row>
    <row r="27" spans="1:67" s="14" customFormat="1">
      <c r="A27" s="927"/>
      <c r="B27" s="428"/>
      <c r="C27" s="1924"/>
      <c r="D27" s="1924"/>
      <c r="E27" s="1924"/>
      <c r="F27" s="1924"/>
      <c r="G27" s="1924"/>
      <c r="H27" s="1924"/>
      <c r="I27" s="1924"/>
      <c r="J27" s="1924"/>
      <c r="K27" s="1924"/>
      <c r="L27" s="1924"/>
      <c r="M27" s="1924"/>
      <c r="N27" s="1924"/>
      <c r="O27" s="1924"/>
      <c r="P27" s="1924"/>
      <c r="Q27" s="1924"/>
      <c r="R27" s="1924"/>
      <c r="S27" s="1924"/>
      <c r="T27" s="1914"/>
      <c r="U27" s="1914"/>
      <c r="V27" s="1914"/>
      <c r="W27" s="1914"/>
      <c r="X27" s="1914"/>
      <c r="Y27" s="1914"/>
      <c r="Z27" s="1914"/>
      <c r="AA27" s="1914"/>
      <c r="AB27" s="1914"/>
      <c r="AC27" s="1914"/>
      <c r="AD27" s="1914"/>
      <c r="AE27" s="1914"/>
      <c r="AF27" s="1914"/>
      <c r="AG27" s="1914"/>
      <c r="AH27" s="1914"/>
      <c r="AI27" s="1914"/>
      <c r="AJ27" s="1914"/>
      <c r="AK27" s="1914"/>
      <c r="AL27" s="1914"/>
      <c r="AM27" s="1914"/>
      <c r="AN27" s="1914"/>
      <c r="AO27" s="1914"/>
      <c r="AP27" s="1166"/>
      <c r="AQ27" s="80"/>
      <c r="AR27" s="240"/>
      <c r="AS27" s="238"/>
      <c r="AT27" s="29"/>
      <c r="AU27" s="238"/>
      <c r="AV27" s="202"/>
      <c r="AY27" s="36"/>
      <c r="AZ27" s="152"/>
      <c r="BB27" s="90"/>
      <c r="BC27" s="157"/>
      <c r="BD27" s="156"/>
      <c r="BE27" s="155"/>
      <c r="BF27" s="154"/>
    </row>
    <row r="28" spans="1:67" s="1219" customFormat="1" ht="35" customHeight="1">
      <c r="A28" s="1274"/>
      <c r="B28" s="1566" t="s">
        <v>98</v>
      </c>
      <c r="C28" s="1572" t="s">
        <v>35</v>
      </c>
      <c r="D28" s="1820" t="s">
        <v>2</v>
      </c>
      <c r="E28" s="1821"/>
      <c r="F28" s="1821"/>
      <c r="G28" s="1821"/>
      <c r="H28" s="1821"/>
      <c r="I28" s="1822"/>
      <c r="J28" s="1788" t="s">
        <v>645</v>
      </c>
      <c r="K28" s="1789"/>
      <c r="L28" s="1790"/>
      <c r="M28" s="1790"/>
      <c r="N28" s="1790"/>
      <c r="O28" s="1790"/>
      <c r="P28" s="1791"/>
      <c r="Q28" s="1790"/>
      <c r="R28" s="1684" t="s">
        <v>882</v>
      </c>
      <c r="S28" s="1779"/>
      <c r="T28" s="1786" t="s">
        <v>664</v>
      </c>
      <c r="U28" s="1787"/>
      <c r="V28" s="1787"/>
      <c r="W28" s="1787"/>
      <c r="X28" s="1787"/>
      <c r="Y28" s="1811" t="s">
        <v>648</v>
      </c>
      <c r="Z28" s="1812"/>
      <c r="AA28" s="1276"/>
      <c r="AB28" s="1276"/>
      <c r="AC28" s="1784" t="s">
        <v>162</v>
      </c>
      <c r="AD28" s="1785"/>
      <c r="AE28" s="1785"/>
      <c r="AF28" s="1782" t="s">
        <v>883</v>
      </c>
      <c r="AG28" s="1974"/>
      <c r="AH28" s="1412"/>
      <c r="AI28" s="1823" t="s">
        <v>167</v>
      </c>
      <c r="AJ28" s="1906"/>
      <c r="AK28" s="1906"/>
      <c r="AL28" s="1906"/>
      <c r="AM28" s="1906"/>
      <c r="AN28" s="1976"/>
      <c r="AO28" s="1278"/>
      <c r="AP28" s="1437"/>
      <c r="AQ28" s="1438"/>
      <c r="AR28" s="1439"/>
      <c r="AS28" s="1440"/>
      <c r="AT28" s="1440"/>
      <c r="AU28" s="1440"/>
      <c r="AV28" s="1441"/>
      <c r="AY28" s="1442"/>
      <c r="AZ28" s="1443"/>
      <c r="BB28" s="1444"/>
      <c r="BC28" s="1445"/>
      <c r="BD28" s="1446"/>
      <c r="BE28" s="1447"/>
      <c r="BF28" s="1448"/>
    </row>
    <row r="29" spans="1:67" s="14" customFormat="1">
      <c r="A29" s="927"/>
      <c r="B29" s="269"/>
      <c r="C29" s="505"/>
      <c r="D29" s="250">
        <v>1</v>
      </c>
      <c r="E29" s="251">
        <f t="shared" ref="E29:AO29" si="6">D29+1</f>
        <v>2</v>
      </c>
      <c r="F29" s="251">
        <f t="shared" si="6"/>
        <v>3</v>
      </c>
      <c r="G29" s="251">
        <f t="shared" si="6"/>
        <v>4</v>
      </c>
      <c r="H29" s="251">
        <f t="shared" si="6"/>
        <v>5</v>
      </c>
      <c r="I29" s="252">
        <f t="shared" si="6"/>
        <v>6</v>
      </c>
      <c r="J29" s="251">
        <f t="shared" si="6"/>
        <v>7</v>
      </c>
      <c r="K29" s="251">
        <f t="shared" si="6"/>
        <v>8</v>
      </c>
      <c r="L29" s="251">
        <f t="shared" si="6"/>
        <v>9</v>
      </c>
      <c r="M29" s="251">
        <f t="shared" si="6"/>
        <v>10</v>
      </c>
      <c r="N29" s="251">
        <f t="shared" si="6"/>
        <v>11</v>
      </c>
      <c r="O29" s="251">
        <f t="shared" si="6"/>
        <v>12</v>
      </c>
      <c r="P29" s="251">
        <f t="shared" si="6"/>
        <v>13</v>
      </c>
      <c r="Q29" s="251">
        <f t="shared" si="6"/>
        <v>14</v>
      </c>
      <c r="R29" s="1036">
        <f t="shared" si="6"/>
        <v>15</v>
      </c>
      <c r="S29" s="1034">
        <f t="shared" si="6"/>
        <v>16</v>
      </c>
      <c r="T29" s="251">
        <f t="shared" si="6"/>
        <v>17</v>
      </c>
      <c r="U29" s="251">
        <f t="shared" si="6"/>
        <v>18</v>
      </c>
      <c r="V29" s="251">
        <f t="shared" si="6"/>
        <v>19</v>
      </c>
      <c r="W29" s="251">
        <f t="shared" si="6"/>
        <v>20</v>
      </c>
      <c r="X29" s="251">
        <f t="shared" si="6"/>
        <v>21</v>
      </c>
      <c r="Y29" s="1036">
        <f t="shared" si="6"/>
        <v>22</v>
      </c>
      <c r="Z29" s="1034">
        <f t="shared" si="6"/>
        <v>23</v>
      </c>
      <c r="AA29" s="251">
        <f t="shared" si="6"/>
        <v>24</v>
      </c>
      <c r="AB29" s="251">
        <f t="shared" si="6"/>
        <v>25</v>
      </c>
      <c r="AC29" s="250">
        <f t="shared" si="6"/>
        <v>26</v>
      </c>
      <c r="AD29" s="251">
        <f t="shared" si="6"/>
        <v>27</v>
      </c>
      <c r="AE29" s="251">
        <f t="shared" si="6"/>
        <v>28</v>
      </c>
      <c r="AF29" s="1036">
        <f t="shared" si="6"/>
        <v>29</v>
      </c>
      <c r="AG29" s="1033">
        <f t="shared" si="6"/>
        <v>30</v>
      </c>
      <c r="AH29" s="1170">
        <f>AG29+1</f>
        <v>31</v>
      </c>
      <c r="AI29" s="109">
        <f>AH29+1</f>
        <v>32</v>
      </c>
      <c r="AJ29" s="50">
        <f>AI29+1</f>
        <v>33</v>
      </c>
      <c r="AK29" s="251">
        <f t="shared" si="6"/>
        <v>34</v>
      </c>
      <c r="AL29" s="251">
        <f t="shared" si="6"/>
        <v>35</v>
      </c>
      <c r="AM29" s="50">
        <f>AL29+1</f>
        <v>36</v>
      </c>
      <c r="AN29" s="110">
        <f>AM29+1</f>
        <v>37</v>
      </c>
      <c r="AO29" s="252">
        <f t="shared" si="6"/>
        <v>38</v>
      </c>
      <c r="AP29" s="1061"/>
      <c r="AQ29" s="80"/>
      <c r="AR29" s="240"/>
      <c r="AS29" s="238"/>
      <c r="AT29" s="29"/>
      <c r="AU29" s="238"/>
      <c r="AV29" s="202"/>
      <c r="AY29" s="36"/>
      <c r="AZ29" s="152"/>
      <c r="BB29" s="90"/>
      <c r="BC29" s="157"/>
      <c r="BD29" s="156"/>
      <c r="BE29" s="155"/>
      <c r="BF29" s="154"/>
    </row>
    <row r="30" spans="1:67" s="14" customFormat="1" ht="133" customHeight="1">
      <c r="A30" s="927"/>
      <c r="B30" s="426"/>
      <c r="C30" s="1311" t="s">
        <v>992</v>
      </c>
      <c r="D30" s="1239" t="s">
        <v>375</v>
      </c>
      <c r="E30" s="1240" t="s">
        <v>376</v>
      </c>
      <c r="F30" s="1240" t="s">
        <v>246</v>
      </c>
      <c r="G30" s="1240" t="s">
        <v>234</v>
      </c>
      <c r="H30" s="805" t="s">
        <v>1028</v>
      </c>
      <c r="I30" s="1002" t="s">
        <v>248</v>
      </c>
      <c r="J30" s="1240" t="s">
        <v>377</v>
      </c>
      <c r="K30" s="1240" t="s">
        <v>1007</v>
      </c>
      <c r="L30" s="1240" t="s">
        <v>641</v>
      </c>
      <c r="M30" s="1236" t="s">
        <v>274</v>
      </c>
      <c r="N30" s="1240" t="s">
        <v>378</v>
      </c>
      <c r="O30" s="1240" t="s">
        <v>379</v>
      </c>
      <c r="P30" s="1240" t="s">
        <v>380</v>
      </c>
      <c r="Q30" s="1373" t="s">
        <v>381</v>
      </c>
      <c r="R30" s="602" t="s">
        <v>257</v>
      </c>
      <c r="S30" s="400" t="s">
        <v>363</v>
      </c>
      <c r="T30" s="1010" t="s">
        <v>329</v>
      </c>
      <c r="U30" s="1010" t="s">
        <v>382</v>
      </c>
      <c r="V30" s="1010" t="s">
        <v>260</v>
      </c>
      <c r="W30" s="1010" t="s">
        <v>261</v>
      </c>
      <c r="X30" s="872" t="s">
        <v>367</v>
      </c>
      <c r="Y30" s="523" t="s">
        <v>995</v>
      </c>
      <c r="Z30" s="599" t="s">
        <v>996</v>
      </c>
      <c r="AA30" s="1010" t="s">
        <v>265</v>
      </c>
      <c r="AB30" s="1010" t="s">
        <v>266</v>
      </c>
      <c r="AC30" s="1239" t="s">
        <v>267</v>
      </c>
      <c r="AD30" s="1010" t="s">
        <v>374</v>
      </c>
      <c r="AE30" s="1010" t="s">
        <v>269</v>
      </c>
      <c r="AF30" s="605" t="s">
        <v>350</v>
      </c>
      <c r="AG30" s="1168" t="s">
        <v>270</v>
      </c>
      <c r="AH30" s="215" t="s">
        <v>271</v>
      </c>
      <c r="AI30" s="1266" t="s">
        <v>808</v>
      </c>
      <c r="AJ30" s="1267" t="s">
        <v>809</v>
      </c>
      <c r="AK30" s="1268" t="s">
        <v>14</v>
      </c>
      <c r="AL30" s="1269" t="s">
        <v>1</v>
      </c>
      <c r="AM30" s="1010" t="s">
        <v>810</v>
      </c>
      <c r="AN30" s="1020" t="s">
        <v>746</v>
      </c>
      <c r="AO30" s="239" t="s">
        <v>272</v>
      </c>
      <c r="AP30" s="1061"/>
      <c r="AQ30" s="1584" t="s">
        <v>637</v>
      </c>
      <c r="AR30" s="805" t="s">
        <v>357</v>
      </c>
      <c r="AS30" s="988" t="s">
        <v>273</v>
      </c>
      <c r="AT30" s="805" t="s">
        <v>746</v>
      </c>
      <c r="AU30" s="1008" t="s">
        <v>811</v>
      </c>
      <c r="AV30" s="1008" t="s">
        <v>745</v>
      </c>
      <c r="AY30" s="36"/>
      <c r="AZ30" s="152"/>
      <c r="BB30" s="90"/>
      <c r="BC30" s="157"/>
      <c r="BD30" s="1149" t="s">
        <v>822</v>
      </c>
      <c r="BE30" s="155"/>
      <c r="BF30" s="154"/>
    </row>
    <row r="31" spans="1:67" s="298" customFormat="1">
      <c r="A31" s="896">
        <f>A23+1</f>
        <v>11</v>
      </c>
      <c r="B31" s="889">
        <f>B23+1</f>
        <v>10</v>
      </c>
      <c r="C31" s="342" t="s">
        <v>997</v>
      </c>
      <c r="D31" s="607">
        <v>369</v>
      </c>
      <c r="E31" s="862">
        <f t="shared" ref="E31:E36" si="7">2*D31</f>
        <v>738</v>
      </c>
      <c r="F31" s="862">
        <f>2*328</f>
        <v>656</v>
      </c>
      <c r="G31" s="656">
        <f t="shared" ref="G31:G36" si="8">F31*1.15</f>
        <v>754.4</v>
      </c>
      <c r="H31" s="1038">
        <f t="shared" ref="H31:H36" si="9">(E31*0.23)</f>
        <v>169.74</v>
      </c>
      <c r="I31" s="584">
        <f t="shared" ref="I31:I36" si="10">0.5*(H31*1.1)</f>
        <v>93.357000000000014</v>
      </c>
      <c r="J31" s="656" t="s">
        <v>154</v>
      </c>
      <c r="K31" s="656" t="s">
        <v>154</v>
      </c>
      <c r="L31" s="656">
        <v>220</v>
      </c>
      <c r="M31" s="656" t="s">
        <v>154</v>
      </c>
      <c r="N31" s="656" t="s">
        <v>154</v>
      </c>
      <c r="O31" s="656" t="s">
        <v>154</v>
      </c>
      <c r="P31" s="656" t="s">
        <v>154</v>
      </c>
      <c r="Q31" s="1237">
        <f t="shared" ref="Q31:Q36" si="11">SUM(J31:P31)</f>
        <v>220</v>
      </c>
      <c r="R31" s="610">
        <f t="shared" ref="R31:R36" si="12">2*Q31</f>
        <v>440</v>
      </c>
      <c r="S31" s="750">
        <f t="shared" ref="S31:S36" si="13">R31+(2*71)</f>
        <v>582</v>
      </c>
      <c r="T31" s="648" t="s">
        <v>154</v>
      </c>
      <c r="U31" s="624">
        <v>93</v>
      </c>
      <c r="V31" s="648" t="s">
        <v>154</v>
      </c>
      <c r="W31" s="648" t="s">
        <v>154</v>
      </c>
      <c r="X31" s="649">
        <f t="shared" ref="X31:X36" si="14">SUM(T31:W31)</f>
        <v>93</v>
      </c>
      <c r="Y31" s="524">
        <f t="shared" ref="Y31:Y36" si="15">2*X31</f>
        <v>186</v>
      </c>
      <c r="Z31" s="525">
        <f t="shared" ref="Z31:Z36" si="16">Y31+(23)</f>
        <v>209</v>
      </c>
      <c r="AA31" s="623">
        <f t="shared" ref="AA31:AA36" si="17">Z31-H31</f>
        <v>39.259999999999991</v>
      </c>
      <c r="AB31" s="624">
        <f>Z31-I31</f>
        <v>115.64299999999999</v>
      </c>
      <c r="AC31" s="608">
        <v>409</v>
      </c>
      <c r="AD31" s="623">
        <f t="shared" ref="AD31:AD36" si="18">(33.89)+(AC31*0.2095)</f>
        <v>119.57549999999999</v>
      </c>
      <c r="AE31" s="624">
        <f t="shared" ref="AE31:AE36" si="19">X31-U31+AD31</f>
        <v>119.57549999999999</v>
      </c>
      <c r="AF31" s="654">
        <f t="shared" ref="AF31:AF36" si="20">2*AE31</f>
        <v>239.15099999999998</v>
      </c>
      <c r="AG31" s="1169">
        <f t="shared" ref="AG31:AG36" si="21">AF31+(23)</f>
        <v>262.15099999999995</v>
      </c>
      <c r="AH31" s="703">
        <f>AG31-I31</f>
        <v>168.79399999999993</v>
      </c>
      <c r="AI31" s="1263" t="s">
        <v>1001</v>
      </c>
      <c r="AJ31" s="1262">
        <v>90</v>
      </c>
      <c r="AK31" s="1262">
        <f t="shared" ref="AK31:AK36" si="22">2*AJ31+(2*71)+(2*45)</f>
        <v>412</v>
      </c>
      <c r="AL31" s="1262">
        <f t="shared" ref="AL31:AL36" si="23">S31-AK31</f>
        <v>170</v>
      </c>
      <c r="AM31" s="623">
        <f>31</f>
        <v>31</v>
      </c>
      <c r="AN31" s="273">
        <f>(89)+(23)+AM31</f>
        <v>143</v>
      </c>
      <c r="AO31" s="274">
        <f t="shared" ref="AO31:AO36" si="24">Z31-AN31</f>
        <v>66</v>
      </c>
      <c r="AP31" s="1062"/>
      <c r="AQ31" s="342" t="s">
        <v>750</v>
      </c>
      <c r="AR31" s="276">
        <f t="shared" ref="AR31:AR36" si="25">H31</f>
        <v>169.74</v>
      </c>
      <c r="AS31" s="261">
        <f t="shared" ref="AS31:AS36" si="26">Z31</f>
        <v>209</v>
      </c>
      <c r="AT31" s="261">
        <f t="shared" ref="AT31:AT36" si="27">AN31</f>
        <v>143</v>
      </c>
      <c r="AU31" s="804">
        <f t="shared" ref="AU31:AU36" si="28">S31-G31</f>
        <v>-172.39999999999998</v>
      </c>
      <c r="AV31" s="343">
        <f t="shared" ref="AV31:AV36" si="29">S31-AK31</f>
        <v>170</v>
      </c>
      <c r="AY31" s="382"/>
      <c r="AZ31" s="383"/>
      <c r="BB31" s="393"/>
      <c r="BC31" s="384"/>
      <c r="BD31" s="1154">
        <f>B31</f>
        <v>10</v>
      </c>
      <c r="BF31" s="372"/>
      <c r="BH31" s="135"/>
    </row>
    <row r="32" spans="1:67" s="180" customFormat="1">
      <c r="A32" s="896">
        <f t="shared" ref="A32:B36" si="30">A31+1</f>
        <v>12</v>
      </c>
      <c r="B32" s="889">
        <f t="shared" si="30"/>
        <v>11</v>
      </c>
      <c r="C32" s="342" t="s">
        <v>694</v>
      </c>
      <c r="D32" s="607">
        <v>328</v>
      </c>
      <c r="E32" s="656">
        <f t="shared" si="7"/>
        <v>656</v>
      </c>
      <c r="F32" s="862">
        <f>(2*306)</f>
        <v>612</v>
      </c>
      <c r="G32" s="656">
        <f t="shared" si="8"/>
        <v>703.8</v>
      </c>
      <c r="H32" s="1038">
        <f t="shared" si="9"/>
        <v>150.88</v>
      </c>
      <c r="I32" s="273">
        <f t="shared" si="10"/>
        <v>82.984000000000009</v>
      </c>
      <c r="J32" s="656" t="s">
        <v>154</v>
      </c>
      <c r="K32" s="656" t="s">
        <v>154</v>
      </c>
      <c r="L32" s="656">
        <v>127</v>
      </c>
      <c r="M32" s="656" t="s">
        <v>154</v>
      </c>
      <c r="N32" s="656" t="s">
        <v>154</v>
      </c>
      <c r="O32" s="656" t="s">
        <v>154</v>
      </c>
      <c r="P32" s="656" t="s">
        <v>154</v>
      </c>
      <c r="Q32" s="1237">
        <f t="shared" si="11"/>
        <v>127</v>
      </c>
      <c r="R32" s="610">
        <f t="shared" si="12"/>
        <v>254</v>
      </c>
      <c r="S32" s="750">
        <f t="shared" si="13"/>
        <v>396</v>
      </c>
      <c r="T32" s="648" t="s">
        <v>154</v>
      </c>
      <c r="U32" s="624">
        <v>93</v>
      </c>
      <c r="V32" s="648" t="s">
        <v>154</v>
      </c>
      <c r="W32" s="648" t="s">
        <v>154</v>
      </c>
      <c r="X32" s="649">
        <f t="shared" si="14"/>
        <v>93</v>
      </c>
      <c r="Y32" s="524">
        <f t="shared" si="15"/>
        <v>186</v>
      </c>
      <c r="Z32" s="525">
        <f t="shared" si="16"/>
        <v>209</v>
      </c>
      <c r="AA32" s="623">
        <f t="shared" si="17"/>
        <v>58.120000000000005</v>
      </c>
      <c r="AB32" s="624">
        <f>(Z32)-(I32)</f>
        <v>126.01599999999999</v>
      </c>
      <c r="AC32" s="607">
        <f>(460-48)</f>
        <v>412</v>
      </c>
      <c r="AD32" s="623">
        <f t="shared" si="18"/>
        <v>120.20399999999999</v>
      </c>
      <c r="AE32" s="624">
        <f t="shared" si="19"/>
        <v>120.20399999999999</v>
      </c>
      <c r="AF32" s="654">
        <f t="shared" si="20"/>
        <v>240.40799999999999</v>
      </c>
      <c r="AG32" s="1169">
        <f t="shared" si="21"/>
        <v>263.40800000000002</v>
      </c>
      <c r="AH32" s="703">
        <f>AG32-(I32)</f>
        <v>180.42400000000001</v>
      </c>
      <c r="AI32" s="1263" t="s">
        <v>1002</v>
      </c>
      <c r="AJ32" s="1262">
        <v>74</v>
      </c>
      <c r="AK32" s="1262">
        <f t="shared" si="22"/>
        <v>380</v>
      </c>
      <c r="AL32" s="1262">
        <f t="shared" si="23"/>
        <v>16</v>
      </c>
      <c r="AM32" s="623" t="s">
        <v>127</v>
      </c>
      <c r="AN32" s="273">
        <f>(137)+(23)</f>
        <v>160</v>
      </c>
      <c r="AO32" s="274">
        <f t="shared" si="24"/>
        <v>49</v>
      </c>
      <c r="AP32" s="1055"/>
      <c r="AQ32" s="394" t="s">
        <v>215</v>
      </c>
      <c r="AR32" s="276">
        <f t="shared" si="25"/>
        <v>150.88</v>
      </c>
      <c r="AS32" s="261">
        <f t="shared" si="26"/>
        <v>209</v>
      </c>
      <c r="AT32" s="261">
        <f t="shared" si="27"/>
        <v>160</v>
      </c>
      <c r="AU32" s="804">
        <f t="shared" si="28"/>
        <v>-307.79999999999995</v>
      </c>
      <c r="AV32" s="343">
        <f t="shared" si="29"/>
        <v>16</v>
      </c>
      <c r="BC32" s="384"/>
      <c r="BD32" s="1154">
        <f t="shared" ref="BD32:BD36" si="31">B32</f>
        <v>11</v>
      </c>
      <c r="BF32" s="380"/>
    </row>
    <row r="33" spans="1:60" s="298" customFormat="1">
      <c r="A33" s="896">
        <f t="shared" si="30"/>
        <v>13</v>
      </c>
      <c r="B33" s="889">
        <f t="shared" si="30"/>
        <v>12</v>
      </c>
      <c r="C33" s="342" t="s">
        <v>579</v>
      </c>
      <c r="D33" s="607">
        <v>355</v>
      </c>
      <c r="E33" s="656">
        <f t="shared" si="7"/>
        <v>710</v>
      </c>
      <c r="F33" s="862">
        <f>(2*346)</f>
        <v>692</v>
      </c>
      <c r="G33" s="656">
        <f t="shared" si="8"/>
        <v>795.8</v>
      </c>
      <c r="H33" s="1038">
        <f t="shared" si="9"/>
        <v>163.30000000000001</v>
      </c>
      <c r="I33" s="273">
        <f t="shared" si="10"/>
        <v>89.815000000000012</v>
      </c>
      <c r="J33" s="656" t="s">
        <v>154</v>
      </c>
      <c r="K33" s="656" t="s">
        <v>154</v>
      </c>
      <c r="L33" s="656">
        <f>236-41</f>
        <v>195</v>
      </c>
      <c r="M33" s="656" t="s">
        <v>154</v>
      </c>
      <c r="N33" s="656" t="s">
        <v>154</v>
      </c>
      <c r="O33" s="656" t="s">
        <v>154</v>
      </c>
      <c r="P33" s="656" t="s">
        <v>154</v>
      </c>
      <c r="Q33" s="656">
        <f t="shared" si="11"/>
        <v>195</v>
      </c>
      <c r="R33" s="610">
        <f t="shared" si="12"/>
        <v>390</v>
      </c>
      <c r="S33" s="750">
        <f t="shared" si="13"/>
        <v>532</v>
      </c>
      <c r="T33" s="648" t="s">
        <v>154</v>
      </c>
      <c r="U33" s="624">
        <v>93</v>
      </c>
      <c r="V33" s="648" t="s">
        <v>154</v>
      </c>
      <c r="W33" s="648" t="s">
        <v>154</v>
      </c>
      <c r="X33" s="649">
        <f t="shared" si="14"/>
        <v>93</v>
      </c>
      <c r="Y33" s="524">
        <f t="shared" si="15"/>
        <v>186</v>
      </c>
      <c r="Z33" s="525">
        <f t="shared" si="16"/>
        <v>209</v>
      </c>
      <c r="AA33" s="624">
        <f t="shared" si="17"/>
        <v>45.699999999999989</v>
      </c>
      <c r="AB33" s="624">
        <f>(Z33)-(I33)</f>
        <v>119.18499999999999</v>
      </c>
      <c r="AC33" s="607">
        <f>480-48</f>
        <v>432</v>
      </c>
      <c r="AD33" s="623">
        <f t="shared" si="18"/>
        <v>124.39399999999999</v>
      </c>
      <c r="AE33" s="624">
        <f t="shared" si="19"/>
        <v>124.39399999999999</v>
      </c>
      <c r="AF33" s="654">
        <f t="shared" si="20"/>
        <v>248.78799999999998</v>
      </c>
      <c r="AG33" s="1169">
        <f t="shared" si="21"/>
        <v>271.78800000000001</v>
      </c>
      <c r="AH33" s="659">
        <f>AG33-(I33)</f>
        <v>181.97300000000001</v>
      </c>
      <c r="AI33" s="1263" t="s">
        <v>1003</v>
      </c>
      <c r="AJ33" s="673">
        <v>74</v>
      </c>
      <c r="AK33" s="1262">
        <f t="shared" si="22"/>
        <v>380</v>
      </c>
      <c r="AL33" s="673">
        <f t="shared" si="23"/>
        <v>152</v>
      </c>
      <c r="AM33" s="624">
        <f>15</f>
        <v>15</v>
      </c>
      <c r="AN33" s="273">
        <f>(121)+(23)+AM33</f>
        <v>159</v>
      </c>
      <c r="AO33" s="274">
        <f t="shared" si="24"/>
        <v>50</v>
      </c>
      <c r="AP33" s="1055"/>
      <c r="AQ33" s="342" t="s">
        <v>20</v>
      </c>
      <c r="AR33" s="276">
        <f t="shared" si="25"/>
        <v>163.30000000000001</v>
      </c>
      <c r="AS33" s="261">
        <f t="shared" si="26"/>
        <v>209</v>
      </c>
      <c r="AT33" s="261">
        <f t="shared" si="27"/>
        <v>159</v>
      </c>
      <c r="AU33" s="804">
        <f t="shared" si="28"/>
        <v>-263.79999999999995</v>
      </c>
      <c r="AV33" s="343">
        <f t="shared" si="29"/>
        <v>152</v>
      </c>
      <c r="BC33" s="384"/>
      <c r="BD33" s="1154">
        <f t="shared" si="31"/>
        <v>12</v>
      </c>
      <c r="BF33" s="372"/>
      <c r="BH33" s="135"/>
    </row>
    <row r="34" spans="1:60" s="180" customFormat="1">
      <c r="A34" s="896">
        <f t="shared" si="30"/>
        <v>14</v>
      </c>
      <c r="B34" s="889">
        <f t="shared" si="30"/>
        <v>13</v>
      </c>
      <c r="C34" s="342" t="s">
        <v>580</v>
      </c>
      <c r="D34" s="607">
        <v>369</v>
      </c>
      <c r="E34" s="656">
        <f t="shared" si="7"/>
        <v>738</v>
      </c>
      <c r="F34" s="862">
        <f>(2*375)</f>
        <v>750</v>
      </c>
      <c r="G34" s="656">
        <f t="shared" si="8"/>
        <v>862.49999999999989</v>
      </c>
      <c r="H34" s="1038">
        <f t="shared" si="9"/>
        <v>169.74</v>
      </c>
      <c r="I34" s="273">
        <f t="shared" si="10"/>
        <v>93.357000000000014</v>
      </c>
      <c r="J34" s="656" t="s">
        <v>154</v>
      </c>
      <c r="K34" s="656" t="s">
        <v>154</v>
      </c>
      <c r="L34" s="656">
        <f>248-41</f>
        <v>207</v>
      </c>
      <c r="M34" s="656" t="s">
        <v>154</v>
      </c>
      <c r="N34" s="656" t="s">
        <v>154</v>
      </c>
      <c r="O34" s="656" t="s">
        <v>154</v>
      </c>
      <c r="P34" s="656" t="s">
        <v>154</v>
      </c>
      <c r="Q34" s="1237">
        <f t="shared" si="11"/>
        <v>207</v>
      </c>
      <c r="R34" s="610">
        <f t="shared" si="12"/>
        <v>414</v>
      </c>
      <c r="S34" s="750">
        <f t="shared" si="13"/>
        <v>556</v>
      </c>
      <c r="T34" s="648" t="s">
        <v>154</v>
      </c>
      <c r="U34" s="624">
        <v>93</v>
      </c>
      <c r="V34" s="648" t="s">
        <v>154</v>
      </c>
      <c r="W34" s="648" t="s">
        <v>154</v>
      </c>
      <c r="X34" s="649">
        <f t="shared" si="14"/>
        <v>93</v>
      </c>
      <c r="Y34" s="524">
        <f t="shared" si="15"/>
        <v>186</v>
      </c>
      <c r="Z34" s="525">
        <f t="shared" si="16"/>
        <v>209</v>
      </c>
      <c r="AA34" s="623">
        <f t="shared" si="17"/>
        <v>39.259999999999991</v>
      </c>
      <c r="AB34" s="624">
        <f>(Z34)-(I34)</f>
        <v>115.64299999999999</v>
      </c>
      <c r="AC34" s="607">
        <f>493-48</f>
        <v>445</v>
      </c>
      <c r="AD34" s="623">
        <f t="shared" si="18"/>
        <v>127.11749999999999</v>
      </c>
      <c r="AE34" s="624">
        <f t="shared" si="19"/>
        <v>127.11749999999999</v>
      </c>
      <c r="AF34" s="654">
        <f t="shared" si="20"/>
        <v>254.23499999999999</v>
      </c>
      <c r="AG34" s="1169">
        <f t="shared" si="21"/>
        <v>277.23500000000001</v>
      </c>
      <c r="AH34" s="659">
        <f>AG34-(I34)</f>
        <v>183.87799999999999</v>
      </c>
      <c r="AI34" s="1263" t="s">
        <v>1003</v>
      </c>
      <c r="AJ34" s="673">
        <v>74</v>
      </c>
      <c r="AK34" s="1262">
        <f t="shared" si="22"/>
        <v>380</v>
      </c>
      <c r="AL34" s="673">
        <f t="shared" si="23"/>
        <v>176</v>
      </c>
      <c r="AM34" s="624">
        <f>15</f>
        <v>15</v>
      </c>
      <c r="AN34" s="273">
        <f>(121)+(23)+AM34</f>
        <v>159</v>
      </c>
      <c r="AO34" s="274">
        <f t="shared" si="24"/>
        <v>50</v>
      </c>
      <c r="AP34" s="1055"/>
      <c r="AQ34" s="394" t="s">
        <v>21</v>
      </c>
      <c r="AR34" s="276">
        <f t="shared" si="25"/>
        <v>169.74</v>
      </c>
      <c r="AS34" s="261">
        <f t="shared" si="26"/>
        <v>209</v>
      </c>
      <c r="AT34" s="261">
        <f t="shared" si="27"/>
        <v>159</v>
      </c>
      <c r="AU34" s="804">
        <f t="shared" si="28"/>
        <v>-306.49999999999989</v>
      </c>
      <c r="AV34" s="343">
        <f t="shared" si="29"/>
        <v>176</v>
      </c>
      <c r="BC34" s="384"/>
      <c r="BD34" s="1154">
        <f t="shared" si="31"/>
        <v>13</v>
      </c>
      <c r="BF34" s="380"/>
      <c r="BH34" s="135"/>
    </row>
    <row r="35" spans="1:60" s="298" customFormat="1">
      <c r="A35" s="896">
        <f t="shared" si="30"/>
        <v>15</v>
      </c>
      <c r="B35" s="889">
        <f t="shared" si="30"/>
        <v>14</v>
      </c>
      <c r="C35" s="342" t="s">
        <v>581</v>
      </c>
      <c r="D35" s="607">
        <v>361</v>
      </c>
      <c r="E35" s="656">
        <f t="shared" si="7"/>
        <v>722</v>
      </c>
      <c r="F35" s="862">
        <f>2*318</f>
        <v>636</v>
      </c>
      <c r="G35" s="656">
        <f t="shared" si="8"/>
        <v>731.4</v>
      </c>
      <c r="H35" s="1038">
        <f t="shared" si="9"/>
        <v>166.06</v>
      </c>
      <c r="I35" s="274">
        <f t="shared" si="10"/>
        <v>91.333000000000013</v>
      </c>
      <c r="J35" s="613" t="s">
        <v>154</v>
      </c>
      <c r="K35" s="656" t="s">
        <v>154</v>
      </c>
      <c r="L35" s="656">
        <f>170-19</f>
        <v>151</v>
      </c>
      <c r="M35" s="656" t="s">
        <v>154</v>
      </c>
      <c r="N35" s="656" t="s">
        <v>154</v>
      </c>
      <c r="O35" s="656" t="s">
        <v>154</v>
      </c>
      <c r="P35" s="656" t="s">
        <v>154</v>
      </c>
      <c r="Q35" s="656">
        <f t="shared" si="11"/>
        <v>151</v>
      </c>
      <c r="R35" s="610">
        <f t="shared" si="12"/>
        <v>302</v>
      </c>
      <c r="S35" s="750">
        <f t="shared" si="13"/>
        <v>444</v>
      </c>
      <c r="T35" s="648" t="s">
        <v>154</v>
      </c>
      <c r="U35" s="624">
        <v>93</v>
      </c>
      <c r="V35" s="648" t="s">
        <v>154</v>
      </c>
      <c r="W35" s="648" t="s">
        <v>154</v>
      </c>
      <c r="X35" s="649">
        <f t="shared" si="14"/>
        <v>93</v>
      </c>
      <c r="Y35" s="524">
        <f t="shared" si="15"/>
        <v>186</v>
      </c>
      <c r="Z35" s="525">
        <f t="shared" si="16"/>
        <v>209</v>
      </c>
      <c r="AA35" s="624">
        <f t="shared" si="17"/>
        <v>42.94</v>
      </c>
      <c r="AB35" s="624">
        <f>(Z35)-(I35)</f>
        <v>117.66699999999999</v>
      </c>
      <c r="AC35" s="607">
        <f>460-15</f>
        <v>445</v>
      </c>
      <c r="AD35" s="623">
        <f t="shared" si="18"/>
        <v>127.11749999999999</v>
      </c>
      <c r="AE35" s="624">
        <f t="shared" si="19"/>
        <v>127.11749999999999</v>
      </c>
      <c r="AF35" s="654">
        <f t="shared" si="20"/>
        <v>254.23499999999999</v>
      </c>
      <c r="AG35" s="1169">
        <f t="shared" si="21"/>
        <v>277.23500000000001</v>
      </c>
      <c r="AH35" s="659">
        <f>AG35-(I35)</f>
        <v>185.90199999999999</v>
      </c>
      <c r="AI35" s="1263" t="s">
        <v>1001</v>
      </c>
      <c r="AJ35" s="673">
        <v>86</v>
      </c>
      <c r="AK35" s="1262">
        <f t="shared" si="22"/>
        <v>404</v>
      </c>
      <c r="AL35" s="673">
        <f t="shared" si="23"/>
        <v>40</v>
      </c>
      <c r="AM35" s="624">
        <f>15</f>
        <v>15</v>
      </c>
      <c r="AN35" s="273">
        <f>(153)+(23)+AM35</f>
        <v>191</v>
      </c>
      <c r="AO35" s="274">
        <f t="shared" si="24"/>
        <v>18</v>
      </c>
      <c r="AP35" s="1062"/>
      <c r="AQ35" s="342" t="s">
        <v>22</v>
      </c>
      <c r="AR35" s="276">
        <f t="shared" si="25"/>
        <v>166.06</v>
      </c>
      <c r="AS35" s="261">
        <f t="shared" si="26"/>
        <v>209</v>
      </c>
      <c r="AT35" s="261">
        <f t="shared" si="27"/>
        <v>191</v>
      </c>
      <c r="AU35" s="804">
        <f t="shared" si="28"/>
        <v>-287.39999999999998</v>
      </c>
      <c r="AV35" s="343">
        <f t="shared" si="29"/>
        <v>40</v>
      </c>
      <c r="AY35" s="382"/>
      <c r="AZ35" s="383"/>
      <c r="BB35" s="393"/>
      <c r="BC35" s="384"/>
      <c r="BD35" s="1154">
        <f t="shared" si="31"/>
        <v>14</v>
      </c>
      <c r="BF35" s="372"/>
      <c r="BH35" s="135"/>
    </row>
    <row r="36" spans="1:60" s="298" customFormat="1">
      <c r="A36" s="896">
        <f t="shared" si="30"/>
        <v>16</v>
      </c>
      <c r="B36" s="889">
        <f t="shared" si="30"/>
        <v>15</v>
      </c>
      <c r="C36" s="342" t="s">
        <v>998</v>
      </c>
      <c r="D36" s="607">
        <v>374</v>
      </c>
      <c r="E36" s="656">
        <f t="shared" si="7"/>
        <v>748</v>
      </c>
      <c r="F36" s="862">
        <f>2*338</f>
        <v>676</v>
      </c>
      <c r="G36" s="656">
        <f t="shared" si="8"/>
        <v>777.4</v>
      </c>
      <c r="H36" s="1038">
        <f t="shared" si="9"/>
        <v>172.04000000000002</v>
      </c>
      <c r="I36" s="274">
        <f t="shared" si="10"/>
        <v>94.622000000000014</v>
      </c>
      <c r="J36" s="613" t="s">
        <v>154</v>
      </c>
      <c r="K36" s="656" t="s">
        <v>154</v>
      </c>
      <c r="L36" s="656">
        <f>188-19</f>
        <v>169</v>
      </c>
      <c r="M36" s="656" t="s">
        <v>154</v>
      </c>
      <c r="N36" s="656" t="s">
        <v>154</v>
      </c>
      <c r="O36" s="656" t="s">
        <v>154</v>
      </c>
      <c r="P36" s="656" t="s">
        <v>154</v>
      </c>
      <c r="Q36" s="656">
        <f t="shared" si="11"/>
        <v>169</v>
      </c>
      <c r="R36" s="610">
        <f t="shared" si="12"/>
        <v>338</v>
      </c>
      <c r="S36" s="750">
        <f t="shared" si="13"/>
        <v>480</v>
      </c>
      <c r="T36" s="648" t="s">
        <v>154</v>
      </c>
      <c r="U36" s="624">
        <v>93</v>
      </c>
      <c r="V36" s="648" t="s">
        <v>154</v>
      </c>
      <c r="W36" s="648" t="s">
        <v>154</v>
      </c>
      <c r="X36" s="649">
        <f t="shared" si="14"/>
        <v>93</v>
      </c>
      <c r="Y36" s="524">
        <f t="shared" si="15"/>
        <v>186</v>
      </c>
      <c r="Z36" s="525">
        <f t="shared" si="16"/>
        <v>209</v>
      </c>
      <c r="AA36" s="624">
        <f t="shared" si="17"/>
        <v>36.95999999999998</v>
      </c>
      <c r="AB36" s="624">
        <f>(Z36)-(I36)</f>
        <v>114.37799999999999</v>
      </c>
      <c r="AC36" s="607">
        <f>466-15</f>
        <v>451</v>
      </c>
      <c r="AD36" s="623">
        <f t="shared" si="18"/>
        <v>128.37450000000001</v>
      </c>
      <c r="AE36" s="624">
        <f t="shared" si="19"/>
        <v>128.37450000000001</v>
      </c>
      <c r="AF36" s="654">
        <f t="shared" si="20"/>
        <v>256.74900000000002</v>
      </c>
      <c r="AG36" s="1169">
        <f t="shared" si="21"/>
        <v>279.74900000000002</v>
      </c>
      <c r="AH36" s="659">
        <f>AG36-(I36)</f>
        <v>185.12700000000001</v>
      </c>
      <c r="AI36" s="1263" t="s">
        <v>1001</v>
      </c>
      <c r="AJ36" s="673">
        <v>90</v>
      </c>
      <c r="AK36" s="1262">
        <f t="shared" si="22"/>
        <v>412</v>
      </c>
      <c r="AL36" s="673">
        <f t="shared" si="23"/>
        <v>68</v>
      </c>
      <c r="AM36" s="624">
        <f>15</f>
        <v>15</v>
      </c>
      <c r="AN36" s="273">
        <f>(89)+(23)+AM36</f>
        <v>127</v>
      </c>
      <c r="AO36" s="274">
        <f t="shared" si="24"/>
        <v>82</v>
      </c>
      <c r="AP36" s="1062"/>
      <c r="AQ36" s="342" t="s">
        <v>751</v>
      </c>
      <c r="AR36" s="276">
        <f t="shared" si="25"/>
        <v>172.04000000000002</v>
      </c>
      <c r="AS36" s="261">
        <f t="shared" si="26"/>
        <v>209</v>
      </c>
      <c r="AT36" s="261">
        <f t="shared" si="27"/>
        <v>127</v>
      </c>
      <c r="AU36" s="804">
        <f t="shared" si="28"/>
        <v>-297.39999999999998</v>
      </c>
      <c r="AV36" s="343">
        <f t="shared" si="29"/>
        <v>68</v>
      </c>
      <c r="AY36" s="382"/>
      <c r="AZ36" s="383"/>
      <c r="BB36" s="393"/>
      <c r="BC36" s="384"/>
      <c r="BD36" s="1154">
        <f t="shared" si="31"/>
        <v>15</v>
      </c>
      <c r="BF36" s="372"/>
      <c r="BH36" s="135"/>
    </row>
    <row r="37" spans="1:60" s="14" customFormat="1" ht="278" customHeight="1">
      <c r="A37" s="927"/>
      <c r="B37" s="143"/>
      <c r="C37" s="80"/>
      <c r="D37" s="1819" t="s">
        <v>962</v>
      </c>
      <c r="E37" s="1737"/>
      <c r="F37" s="1374" t="s">
        <v>963</v>
      </c>
      <c r="G37" s="1374" t="s">
        <v>993</v>
      </c>
      <c r="H37" s="1238" t="s">
        <v>345</v>
      </c>
      <c r="I37" s="1003"/>
      <c r="J37" s="1451"/>
      <c r="K37" s="1449"/>
      <c r="L37" s="1376" t="s">
        <v>218</v>
      </c>
      <c r="M37" s="1449"/>
      <c r="N37" s="1449"/>
      <c r="O37" s="1450" t="s">
        <v>105</v>
      </c>
      <c r="P37" s="1450"/>
      <c r="Q37" s="1450"/>
      <c r="R37" s="111"/>
      <c r="S37" s="1338" t="s">
        <v>972</v>
      </c>
      <c r="T37" s="233"/>
      <c r="U37" s="1350" t="s">
        <v>999</v>
      </c>
      <c r="V37" s="233"/>
      <c r="W37" s="233"/>
      <c r="X37" s="53"/>
      <c r="Y37" s="26"/>
      <c r="Z37" s="1350" t="s">
        <v>976</v>
      </c>
      <c r="AA37"/>
      <c r="AB37" s="1260" t="s">
        <v>349</v>
      </c>
      <c r="AC37" s="1377" t="s">
        <v>1000</v>
      </c>
      <c r="AD37" s="1260" t="s">
        <v>350</v>
      </c>
      <c r="AE37" s="142" t="s">
        <v>105</v>
      </c>
      <c r="AF37" s="246"/>
      <c r="AG37" s="1350" t="s">
        <v>976</v>
      </c>
      <c r="AH37" s="1163"/>
      <c r="AI37" s="1162"/>
      <c r="AJ37" s="1544" t="s">
        <v>1147</v>
      </c>
      <c r="AK37" s="204"/>
      <c r="AL37" s="129"/>
      <c r="AM37" s="129"/>
      <c r="AN37" s="1375" t="s">
        <v>885</v>
      </c>
      <c r="AO37" s="232"/>
      <c r="AP37" s="1061"/>
      <c r="AQ37" s="80"/>
      <c r="AR37" s="240"/>
      <c r="AS37" s="238"/>
      <c r="AT37" s="29"/>
      <c r="AU37" s="238"/>
      <c r="AV37" s="202"/>
      <c r="AY37" s="36"/>
      <c r="AZ37" s="152"/>
      <c r="BB37" s="90"/>
      <c r="BC37" s="157"/>
      <c r="BD37" s="156"/>
      <c r="BE37" s="155"/>
      <c r="BF37" s="154"/>
    </row>
    <row r="38" spans="1:60" s="14" customFormat="1">
      <c r="A38" s="927"/>
      <c r="B38" s="143"/>
      <c r="C38" s="80"/>
      <c r="D38" s="326"/>
      <c r="E38" s="58"/>
      <c r="F38" s="58"/>
      <c r="G38" s="58"/>
      <c r="H38" s="82"/>
      <c r="I38" s="82"/>
      <c r="J38" s="212"/>
      <c r="K38" s="212"/>
      <c r="L38" s="212"/>
      <c r="M38" s="212"/>
      <c r="N38" s="212"/>
      <c r="O38" s="212"/>
      <c r="P38" s="212"/>
      <c r="Q38" s="185"/>
      <c r="R38" s="330"/>
      <c r="S38" s="331"/>
      <c r="T38" s="141"/>
      <c r="U38" s="141"/>
      <c r="V38" s="212"/>
      <c r="W38" s="212"/>
      <c r="X38" s="212"/>
      <c r="Y38" s="31"/>
      <c r="Z38" s="329"/>
      <c r="AA38" s="63"/>
      <c r="AB38" s="327"/>
      <c r="AC38" s="189"/>
      <c r="AD38" s="190"/>
      <c r="AE38" s="190"/>
      <c r="AF38" s="31"/>
      <c r="AG38" s="329"/>
      <c r="AH38" s="328"/>
      <c r="AI38" s="328"/>
      <c r="AJ38" s="193"/>
      <c r="AK38" s="193"/>
      <c r="AL38" s="193"/>
      <c r="AM38" s="193"/>
      <c r="AN38" s="232"/>
      <c r="AO38" s="232"/>
      <c r="AP38" s="1061"/>
      <c r="AQ38" s="80"/>
      <c r="AR38" s="240"/>
      <c r="AS38" s="238"/>
      <c r="AT38" s="29"/>
      <c r="AU38" s="238"/>
      <c r="AV38" s="202"/>
      <c r="AW38" s="95" t="s">
        <v>105</v>
      </c>
      <c r="AY38" s="36"/>
      <c r="AZ38" s="152"/>
      <c r="BB38" s="90"/>
      <c r="BC38" s="157"/>
      <c r="BD38" s="156"/>
      <c r="BE38" s="155"/>
      <c r="BF38" s="154"/>
    </row>
    <row r="39" spans="1:60" s="14" customFormat="1">
      <c r="A39" s="927"/>
      <c r="B39" s="143"/>
      <c r="C39" s="80"/>
      <c r="D39" s="326"/>
      <c r="E39" s="58"/>
      <c r="F39" s="58"/>
      <c r="G39" s="58"/>
      <c r="H39" s="82"/>
      <c r="I39" s="82"/>
      <c r="J39" s="212"/>
      <c r="K39" s="212"/>
      <c r="L39" s="212"/>
      <c r="M39" s="212"/>
      <c r="N39" s="212"/>
      <c r="O39" s="212"/>
      <c r="P39" s="212"/>
      <c r="Q39" s="185"/>
      <c r="R39" s="330"/>
      <c r="S39" s="331"/>
      <c r="T39" s="141"/>
      <c r="U39" s="141"/>
      <c r="V39" s="212"/>
      <c r="W39" s="212"/>
      <c r="X39" s="212"/>
      <c r="Y39" s="31"/>
      <c r="Z39" s="329"/>
      <c r="AA39" s="63"/>
      <c r="AB39" s="327"/>
      <c r="AC39" s="189"/>
      <c r="AD39" s="190"/>
      <c r="AE39" s="190"/>
      <c r="AF39" s="31"/>
      <c r="AG39" s="329"/>
      <c r="AH39" s="328"/>
      <c r="AI39" s="328"/>
      <c r="AJ39" s="193"/>
      <c r="AK39" s="193"/>
      <c r="AL39" s="193"/>
      <c r="AM39" s="193"/>
      <c r="AN39" s="232"/>
      <c r="AO39" s="232"/>
      <c r="AP39" s="1061"/>
      <c r="AQ39" s="80"/>
      <c r="AR39" s="240"/>
      <c r="AS39" s="238"/>
      <c r="AT39" s="29"/>
      <c r="AU39" s="238"/>
      <c r="AV39" s="202"/>
      <c r="AY39" s="36"/>
      <c r="AZ39" s="152"/>
      <c r="BB39" s="90"/>
      <c r="BC39" s="157"/>
      <c r="BD39" s="156"/>
      <c r="BE39" s="155"/>
      <c r="BF39" s="154"/>
    </row>
    <row r="40" spans="1:60" s="14" customFormat="1">
      <c r="A40" s="927"/>
      <c r="B40" s="428"/>
      <c r="C40" s="1924"/>
      <c r="D40" s="1924"/>
      <c r="E40" s="1924"/>
      <c r="F40" s="1924"/>
      <c r="G40" s="1924"/>
      <c r="H40" s="1924"/>
      <c r="I40" s="1924"/>
      <c r="J40" s="1924"/>
      <c r="K40" s="1924"/>
      <c r="L40" s="1924"/>
      <c r="M40" s="1924"/>
      <c r="N40" s="1924"/>
      <c r="O40" s="1924"/>
      <c r="P40" s="1924"/>
      <c r="Q40" s="1924"/>
      <c r="R40" s="1924"/>
      <c r="S40" s="1924"/>
      <c r="T40" s="1914"/>
      <c r="U40" s="1914"/>
      <c r="V40" s="1914"/>
      <c r="W40" s="1914"/>
      <c r="X40" s="1914"/>
      <c r="Y40" s="1914"/>
      <c r="Z40" s="1914"/>
      <c r="AA40" s="1914"/>
      <c r="AB40" s="1914"/>
      <c r="AC40" s="1914"/>
      <c r="AD40" s="1914"/>
      <c r="AE40" s="1914"/>
      <c r="AF40" s="1914"/>
      <c r="AG40" s="1914"/>
      <c r="AH40" s="1914"/>
      <c r="AI40" s="1914"/>
      <c r="AJ40" s="1914"/>
      <c r="AK40" s="1914"/>
      <c r="AL40" s="1914"/>
      <c r="AM40" s="1914"/>
      <c r="AN40" s="1925"/>
      <c r="AP40" s="1166"/>
      <c r="AQ40" s="80"/>
      <c r="AR40" s="240"/>
      <c r="AS40" s="238"/>
      <c r="AT40" s="29"/>
      <c r="AU40" s="238"/>
      <c r="AV40" s="202"/>
      <c r="AY40" s="36"/>
      <c r="AZ40" s="152"/>
      <c r="BB40" s="90"/>
      <c r="BC40" s="157"/>
      <c r="BD40" s="156"/>
      <c r="BE40" s="155"/>
      <c r="BF40" s="154"/>
    </row>
    <row r="41" spans="1:60" s="14" customFormat="1" ht="32" customHeight="1">
      <c r="A41" s="927"/>
      <c r="B41" s="932" t="s">
        <v>99</v>
      </c>
      <c r="C41" s="1560" t="s">
        <v>35</v>
      </c>
      <c r="D41" s="2003" t="s">
        <v>2</v>
      </c>
      <c r="E41" s="2004"/>
      <c r="F41" s="2004"/>
      <c r="G41" s="2004"/>
      <c r="H41" s="2004"/>
      <c r="I41" s="2005"/>
      <c r="J41" s="1983" t="s">
        <v>645</v>
      </c>
      <c r="K41" s="1984"/>
      <c r="L41" s="1985"/>
      <c r="M41" s="1985"/>
      <c r="N41" s="1985"/>
      <c r="O41" s="1985"/>
      <c r="P41" s="1986"/>
      <c r="Q41" s="1985"/>
      <c r="R41" s="1991" t="s">
        <v>646</v>
      </c>
      <c r="S41" s="1992"/>
      <c r="T41" s="1786" t="s">
        <v>664</v>
      </c>
      <c r="U41" s="1787"/>
      <c r="V41" s="1787"/>
      <c r="W41" s="1787"/>
      <c r="X41" s="1787"/>
      <c r="Y41" s="1993" t="s">
        <v>648</v>
      </c>
      <c r="Z41" s="1994"/>
      <c r="AA41" s="178"/>
      <c r="AB41" s="178"/>
      <c r="AC41" s="1922" t="s">
        <v>162</v>
      </c>
      <c r="AD41" s="1923"/>
      <c r="AE41" s="1923"/>
      <c r="AF41" s="1926" t="s">
        <v>649</v>
      </c>
      <c r="AG41" s="1927"/>
      <c r="AH41" s="178"/>
      <c r="AI41" s="1944" t="s">
        <v>167</v>
      </c>
      <c r="AJ41" s="1945"/>
      <c r="AK41" s="1945"/>
      <c r="AL41" s="1945"/>
      <c r="AM41" s="1945"/>
      <c r="AN41" s="1975"/>
      <c r="AO41" s="244"/>
      <c r="AP41" s="1061"/>
      <c r="AQ41" s="80"/>
      <c r="AR41" s="240"/>
      <c r="AS41" s="238"/>
      <c r="AT41" s="29"/>
      <c r="AU41" s="238"/>
      <c r="AV41" s="202"/>
      <c r="AY41" s="36"/>
      <c r="AZ41" s="152"/>
      <c r="BB41" s="90"/>
      <c r="BC41" s="157"/>
      <c r="BD41" s="156"/>
      <c r="BE41" s="155"/>
      <c r="BF41" s="154"/>
    </row>
    <row r="42" spans="1:60" s="14" customFormat="1">
      <c r="A42" s="927"/>
      <c r="B42" s="269"/>
      <c r="C42" s="505"/>
      <c r="D42" s="250">
        <v>1</v>
      </c>
      <c r="E42" s="251">
        <f t="shared" ref="E42:AO42" si="32">D42+1</f>
        <v>2</v>
      </c>
      <c r="F42" s="251">
        <f t="shared" si="32"/>
        <v>3</v>
      </c>
      <c r="G42" s="251">
        <f t="shared" si="32"/>
        <v>4</v>
      </c>
      <c r="H42" s="251">
        <f t="shared" si="32"/>
        <v>5</v>
      </c>
      <c r="I42" s="252">
        <f t="shared" si="32"/>
        <v>6</v>
      </c>
      <c r="J42" s="251">
        <f t="shared" si="32"/>
        <v>7</v>
      </c>
      <c r="K42" s="251">
        <f t="shared" si="32"/>
        <v>8</v>
      </c>
      <c r="L42" s="251">
        <f t="shared" si="32"/>
        <v>9</v>
      </c>
      <c r="M42" s="251">
        <f t="shared" si="32"/>
        <v>10</v>
      </c>
      <c r="N42" s="251">
        <f t="shared" si="32"/>
        <v>11</v>
      </c>
      <c r="O42" s="251">
        <f t="shared" si="32"/>
        <v>12</v>
      </c>
      <c r="P42" s="251">
        <f t="shared" si="32"/>
        <v>13</v>
      </c>
      <c r="Q42" s="251">
        <f t="shared" si="32"/>
        <v>14</v>
      </c>
      <c r="R42" s="1036">
        <f t="shared" si="32"/>
        <v>15</v>
      </c>
      <c r="S42" s="1034">
        <f t="shared" si="32"/>
        <v>16</v>
      </c>
      <c r="T42" s="251">
        <f t="shared" si="32"/>
        <v>17</v>
      </c>
      <c r="U42" s="251">
        <f t="shared" si="32"/>
        <v>18</v>
      </c>
      <c r="V42" s="251">
        <f t="shared" si="32"/>
        <v>19</v>
      </c>
      <c r="W42" s="251">
        <f t="shared" si="32"/>
        <v>20</v>
      </c>
      <c r="X42" s="251">
        <f t="shared" si="32"/>
        <v>21</v>
      </c>
      <c r="Y42" s="1036">
        <f t="shared" si="32"/>
        <v>22</v>
      </c>
      <c r="Z42" s="1034">
        <f t="shared" si="32"/>
        <v>23</v>
      </c>
      <c r="AA42" s="251">
        <f t="shared" si="32"/>
        <v>24</v>
      </c>
      <c r="AB42" s="251">
        <f t="shared" si="32"/>
        <v>25</v>
      </c>
      <c r="AC42" s="250">
        <f t="shared" si="32"/>
        <v>26</v>
      </c>
      <c r="AD42" s="251">
        <f t="shared" si="32"/>
        <v>27</v>
      </c>
      <c r="AE42" s="251">
        <f t="shared" si="32"/>
        <v>28</v>
      </c>
      <c r="AF42" s="250">
        <f t="shared" si="32"/>
        <v>29</v>
      </c>
      <c r="AG42" s="252">
        <f t="shared" si="32"/>
        <v>30</v>
      </c>
      <c r="AH42" s="251">
        <f>AG42+1</f>
        <v>31</v>
      </c>
      <c r="AI42" s="109">
        <f>AH42+1</f>
        <v>32</v>
      </c>
      <c r="AJ42" s="50">
        <f>AI42+1</f>
        <v>33</v>
      </c>
      <c r="AK42" s="251">
        <f t="shared" si="32"/>
        <v>34</v>
      </c>
      <c r="AL42" s="251">
        <f t="shared" si="32"/>
        <v>35</v>
      </c>
      <c r="AM42" s="50">
        <f>AL42+1</f>
        <v>36</v>
      </c>
      <c r="AN42" s="110">
        <f>AM42+1</f>
        <v>37</v>
      </c>
      <c r="AO42" s="252">
        <f t="shared" si="32"/>
        <v>38</v>
      </c>
      <c r="AP42" s="1061"/>
      <c r="AQ42" s="80"/>
      <c r="AR42" s="240"/>
      <c r="AS42" s="238"/>
      <c r="AT42" s="29"/>
      <c r="AU42" s="238"/>
      <c r="AV42" s="202"/>
      <c r="AY42" s="36"/>
      <c r="AZ42" s="152"/>
      <c r="BB42" s="90"/>
      <c r="BC42" s="157"/>
      <c r="BD42" s="156"/>
      <c r="BE42" s="155"/>
      <c r="BF42" s="154"/>
    </row>
    <row r="43" spans="1:60" s="14" customFormat="1" ht="139" customHeight="1">
      <c r="A43" s="927"/>
      <c r="B43" s="426"/>
      <c r="C43" s="1311" t="s">
        <v>992</v>
      </c>
      <c r="D43" s="1234" t="s">
        <v>375</v>
      </c>
      <c r="E43" s="1235" t="s">
        <v>376</v>
      </c>
      <c r="F43" s="1235" t="s">
        <v>246</v>
      </c>
      <c r="G43" s="1240" t="s">
        <v>234</v>
      </c>
      <c r="H43" s="805" t="s">
        <v>1028</v>
      </c>
      <c r="I43" s="1002" t="s">
        <v>248</v>
      </c>
      <c r="J43" s="1240" t="s">
        <v>377</v>
      </c>
      <c r="K43" s="1240" t="s">
        <v>1007</v>
      </c>
      <c r="L43" s="1240" t="s">
        <v>1008</v>
      </c>
      <c r="M43" s="1373" t="s">
        <v>274</v>
      </c>
      <c r="N43" s="1240" t="s">
        <v>1011</v>
      </c>
      <c r="O43" s="1240" t="s">
        <v>254</v>
      </c>
      <c r="P43" s="1240" t="s">
        <v>255</v>
      </c>
      <c r="Q43" s="1373" t="s">
        <v>256</v>
      </c>
      <c r="R43" s="602" t="s">
        <v>383</v>
      </c>
      <c r="S43" s="457" t="s">
        <v>384</v>
      </c>
      <c r="T43" s="1010" t="s">
        <v>1013</v>
      </c>
      <c r="U43" s="1010" t="s">
        <v>385</v>
      </c>
      <c r="V43" s="1010" t="s">
        <v>260</v>
      </c>
      <c r="W43" s="1010" t="s">
        <v>261</v>
      </c>
      <c r="X43" s="872" t="s">
        <v>367</v>
      </c>
      <c r="Y43" s="523" t="s">
        <v>995</v>
      </c>
      <c r="Z43" s="599" t="s">
        <v>996</v>
      </c>
      <c r="AA43" s="1010" t="s">
        <v>265</v>
      </c>
      <c r="AB43" s="1010" t="s">
        <v>266</v>
      </c>
      <c r="AC43" s="1239" t="s">
        <v>267</v>
      </c>
      <c r="AD43" s="1010" t="s">
        <v>374</v>
      </c>
      <c r="AE43" s="1010" t="s">
        <v>269</v>
      </c>
      <c r="AF43" s="605" t="s">
        <v>350</v>
      </c>
      <c r="AG43" s="187" t="s">
        <v>270</v>
      </c>
      <c r="AH43" s="1010" t="s">
        <v>271</v>
      </c>
      <c r="AI43" s="1266" t="s">
        <v>808</v>
      </c>
      <c r="AJ43" s="1267" t="s">
        <v>809</v>
      </c>
      <c r="AK43" s="1268" t="s">
        <v>14</v>
      </c>
      <c r="AL43" s="1269" t="s">
        <v>1</v>
      </c>
      <c r="AM43" s="1010" t="s">
        <v>810</v>
      </c>
      <c r="AN43" s="1020" t="s">
        <v>746</v>
      </c>
      <c r="AO43" s="239" t="s">
        <v>272</v>
      </c>
      <c r="AP43" s="1061"/>
      <c r="AQ43" s="409" t="s">
        <v>637</v>
      </c>
      <c r="AR43" s="805" t="s">
        <v>357</v>
      </c>
      <c r="AS43" s="988" t="s">
        <v>273</v>
      </c>
      <c r="AT43" s="805" t="s">
        <v>746</v>
      </c>
      <c r="AU43" s="1008" t="s">
        <v>811</v>
      </c>
      <c r="AV43" s="1008" t="s">
        <v>745</v>
      </c>
      <c r="AY43" s="36"/>
      <c r="AZ43" s="152"/>
      <c r="BB43" s="90"/>
      <c r="BC43" s="157"/>
      <c r="BD43" s="1149" t="s">
        <v>822</v>
      </c>
      <c r="BE43" s="155"/>
      <c r="BF43" s="154"/>
    </row>
    <row r="44" spans="1:60" s="298" customFormat="1">
      <c r="A44" s="896">
        <f>A36+1</f>
        <v>17</v>
      </c>
      <c r="B44" s="889">
        <f>B36+1</f>
        <v>16</v>
      </c>
      <c r="C44" s="342" t="s">
        <v>1047</v>
      </c>
      <c r="D44" s="607">
        <v>332</v>
      </c>
      <c r="E44" s="656">
        <f>2*D44</f>
        <v>664</v>
      </c>
      <c r="F44" s="862">
        <f>2*315</f>
        <v>630</v>
      </c>
      <c r="G44" s="656">
        <f>F44*1.15</f>
        <v>724.5</v>
      </c>
      <c r="H44" s="274">
        <f>(E44*0.23)</f>
        <v>152.72</v>
      </c>
      <c r="I44" s="273">
        <f>0.5*(H44*1.1)</f>
        <v>83.996000000000009</v>
      </c>
      <c r="J44" s="656" t="s">
        <v>154</v>
      </c>
      <c r="K44" s="656" t="s">
        <v>154</v>
      </c>
      <c r="L44" s="656">
        <f>169-23</f>
        <v>146</v>
      </c>
      <c r="M44" s="656">
        <v>15</v>
      </c>
      <c r="N44" s="656">
        <v>81</v>
      </c>
      <c r="O44" s="656" t="s">
        <v>154</v>
      </c>
      <c r="P44" s="656" t="s">
        <v>154</v>
      </c>
      <c r="Q44" s="656">
        <f>SUM(J44:P44)</f>
        <v>242</v>
      </c>
      <c r="R44" s="610">
        <f>2*Q44</f>
        <v>484</v>
      </c>
      <c r="S44" s="690">
        <f>R44+(2*71)</f>
        <v>626</v>
      </c>
      <c r="T44" s="648" t="s">
        <v>154</v>
      </c>
      <c r="U44" s="624">
        <v>93</v>
      </c>
      <c r="V44" s="639">
        <v>1.75</v>
      </c>
      <c r="W44" s="648" t="s">
        <v>154</v>
      </c>
      <c r="X44" s="649">
        <f>SUM(T44:W44)</f>
        <v>94.75</v>
      </c>
      <c r="Y44" s="524">
        <f>2*X44</f>
        <v>189.5</v>
      </c>
      <c r="Z44" s="525">
        <f>Y44+(23)</f>
        <v>212.5</v>
      </c>
      <c r="AA44" s="655">
        <f>Z44-H44</f>
        <v>59.78</v>
      </c>
      <c r="AB44" s="653">
        <f>(Z44)-(I44)</f>
        <v>128.50399999999999</v>
      </c>
      <c r="AC44" s="656">
        <f>466-78</f>
        <v>388</v>
      </c>
      <c r="AD44" s="624">
        <f>(33.89)+(AC44*0.2095)</f>
        <v>115.176</v>
      </c>
      <c r="AE44" s="624">
        <f>X44-U44+AD44</f>
        <v>116.926</v>
      </c>
      <c r="AF44" s="368">
        <f>2*AE44</f>
        <v>233.852</v>
      </c>
      <c r="AG44" s="323">
        <f>AF44+(23)</f>
        <v>256.85199999999998</v>
      </c>
      <c r="AH44" s="624">
        <f>AG44-(I44)</f>
        <v>172.85599999999997</v>
      </c>
      <c r="AI44" s="1263" t="s">
        <v>1017</v>
      </c>
      <c r="AJ44" s="672">
        <v>72</v>
      </c>
      <c r="AK44" s="673">
        <f>(2*AJ44)+(2*71)+(2*45)</f>
        <v>376</v>
      </c>
      <c r="AL44" s="673">
        <f>S44-AK44</f>
        <v>250</v>
      </c>
      <c r="AM44" s="624">
        <f>15</f>
        <v>15</v>
      </c>
      <c r="AN44" s="273">
        <f>(169)+(23)+AM44</f>
        <v>207</v>
      </c>
      <c r="AO44" s="274">
        <f>Z44-AN44</f>
        <v>5.5</v>
      </c>
      <c r="AP44" s="1056"/>
      <c r="AQ44" s="342" t="s">
        <v>29</v>
      </c>
      <c r="AR44" s="276">
        <f>H44</f>
        <v>152.72</v>
      </c>
      <c r="AS44" s="261">
        <f>Z44</f>
        <v>212.5</v>
      </c>
      <c r="AT44" s="261">
        <f>AN44</f>
        <v>207</v>
      </c>
      <c r="AU44" s="804">
        <f>S44-G44</f>
        <v>-98.5</v>
      </c>
      <c r="AV44" s="343">
        <f>S44-AK44</f>
        <v>250</v>
      </c>
      <c r="BC44" s="385"/>
      <c r="BD44" s="1153">
        <f>B44</f>
        <v>16</v>
      </c>
      <c r="BE44" s="385"/>
      <c r="BH44" s="135"/>
    </row>
    <row r="45" spans="1:60" s="298" customFormat="1">
      <c r="A45" s="896">
        <f t="shared" ref="A45:B48" si="33">A44+1</f>
        <v>18</v>
      </c>
      <c r="B45" s="889">
        <f t="shared" si="33"/>
        <v>17</v>
      </c>
      <c r="C45" s="342" t="s">
        <v>1046</v>
      </c>
      <c r="D45" s="607">
        <v>363</v>
      </c>
      <c r="E45" s="656">
        <f>2*D45</f>
        <v>726</v>
      </c>
      <c r="F45" s="862">
        <f>2*347</f>
        <v>694</v>
      </c>
      <c r="G45" s="656">
        <f>F45*1.15</f>
        <v>798.09999999999991</v>
      </c>
      <c r="H45" s="274">
        <f>(E45*0.23)</f>
        <v>166.98000000000002</v>
      </c>
      <c r="I45" s="273">
        <f>0.5*(H45*1.1)</f>
        <v>91.839000000000013</v>
      </c>
      <c r="J45" s="656" t="s">
        <v>154</v>
      </c>
      <c r="K45" s="656" t="s">
        <v>154</v>
      </c>
      <c r="L45" s="656">
        <f>188-41</f>
        <v>147</v>
      </c>
      <c r="M45" s="656">
        <v>15</v>
      </c>
      <c r="N45" s="656">
        <v>81</v>
      </c>
      <c r="O45" s="656" t="s">
        <v>154</v>
      </c>
      <c r="P45" s="656" t="s">
        <v>154</v>
      </c>
      <c r="Q45" s="656">
        <f>SUM(J45:P45)</f>
        <v>243</v>
      </c>
      <c r="R45" s="610">
        <f>2*Q45</f>
        <v>486</v>
      </c>
      <c r="S45" s="690">
        <f>R45+(2*71)</f>
        <v>628</v>
      </c>
      <c r="T45" s="648" t="s">
        <v>154</v>
      </c>
      <c r="U45" s="624">
        <v>93</v>
      </c>
      <c r="V45" s="639">
        <v>1.75</v>
      </c>
      <c r="W45" s="648" t="s">
        <v>154</v>
      </c>
      <c r="X45" s="649">
        <f>SUM(T45:W45)</f>
        <v>94.75</v>
      </c>
      <c r="Y45" s="524">
        <f>2*X45</f>
        <v>189.5</v>
      </c>
      <c r="Z45" s="525">
        <f>Y45+(23)</f>
        <v>212.5</v>
      </c>
      <c r="AA45" s="655">
        <f>Z45-H45</f>
        <v>45.519999999999982</v>
      </c>
      <c r="AB45" s="653">
        <f>(Z45)-(I45)</f>
        <v>120.66099999999999</v>
      </c>
      <c r="AC45" s="656">
        <f>466-48</f>
        <v>418</v>
      </c>
      <c r="AD45" s="624">
        <f>(33.89)+(AC45*0.2095)</f>
        <v>121.461</v>
      </c>
      <c r="AE45" s="624">
        <f>X45-U45+AD45</f>
        <v>123.211</v>
      </c>
      <c r="AF45" s="368">
        <f>2*AE45</f>
        <v>246.422</v>
      </c>
      <c r="AG45" s="323">
        <f>AF45+(23)</f>
        <v>269.42200000000003</v>
      </c>
      <c r="AH45" s="624">
        <f>AG45-(I45)</f>
        <v>177.58300000000003</v>
      </c>
      <c r="AI45" s="1263" t="s">
        <v>1017</v>
      </c>
      <c r="AJ45" s="672">
        <v>72</v>
      </c>
      <c r="AK45" s="673">
        <f>(2*AJ45)+(2*71)+(2*45)</f>
        <v>376</v>
      </c>
      <c r="AL45" s="673">
        <f>S45-AK45</f>
        <v>252</v>
      </c>
      <c r="AM45" s="707" t="s">
        <v>13</v>
      </c>
      <c r="AN45" s="273">
        <f>(169)+(23)</f>
        <v>192</v>
      </c>
      <c r="AO45" s="274">
        <f>Z45-AN45</f>
        <v>20.5</v>
      </c>
      <c r="AP45" s="1055"/>
      <c r="AQ45" s="342" t="s">
        <v>169</v>
      </c>
      <c r="AR45" s="276">
        <f>H45</f>
        <v>166.98000000000002</v>
      </c>
      <c r="AS45" s="261">
        <f>Z45</f>
        <v>212.5</v>
      </c>
      <c r="AT45" s="261">
        <f>AN45</f>
        <v>192</v>
      </c>
      <c r="AU45" s="804">
        <f>S45-G45</f>
        <v>-170.09999999999991</v>
      </c>
      <c r="AV45" s="343">
        <f>S45-AK45</f>
        <v>252</v>
      </c>
      <c r="BC45" s="384"/>
      <c r="BD45" s="1153">
        <f t="shared" ref="BD45:BD48" si="34">B45</f>
        <v>17</v>
      </c>
      <c r="BE45" s="353"/>
      <c r="BF45" s="372"/>
    </row>
    <row r="46" spans="1:60" s="298" customFormat="1">
      <c r="A46" s="896">
        <f t="shared" si="33"/>
        <v>19</v>
      </c>
      <c r="B46" s="889">
        <f t="shared" si="33"/>
        <v>18</v>
      </c>
      <c r="C46" s="342" t="s">
        <v>1045</v>
      </c>
      <c r="D46" s="607">
        <v>368</v>
      </c>
      <c r="E46" s="862">
        <f>2*D46</f>
        <v>736</v>
      </c>
      <c r="F46" s="862">
        <v>646</v>
      </c>
      <c r="G46" s="656">
        <f>F46*1.15</f>
        <v>742.9</v>
      </c>
      <c r="H46" s="274">
        <f>(E46*0.23)</f>
        <v>169.28</v>
      </c>
      <c r="I46" s="273">
        <f>0.5*(H46*1.1)</f>
        <v>93.104000000000013</v>
      </c>
      <c r="J46" s="656" t="s">
        <v>154</v>
      </c>
      <c r="K46" s="656" t="s">
        <v>154</v>
      </c>
      <c r="L46" s="656">
        <v>170</v>
      </c>
      <c r="M46" s="656" t="s">
        <v>154</v>
      </c>
      <c r="N46" s="656" t="s">
        <v>154</v>
      </c>
      <c r="O46" s="656" t="s">
        <v>154</v>
      </c>
      <c r="P46" s="656" t="s">
        <v>154</v>
      </c>
      <c r="Q46" s="656">
        <f>SUM(J46:P46)</f>
        <v>170</v>
      </c>
      <c r="R46" s="610">
        <f>2*Q46</f>
        <v>340</v>
      </c>
      <c r="S46" s="690">
        <f>R46+(2*71)</f>
        <v>482</v>
      </c>
      <c r="T46" s="648" t="s">
        <v>154</v>
      </c>
      <c r="U46" s="624">
        <v>93</v>
      </c>
      <c r="V46" s="648" t="s">
        <v>154</v>
      </c>
      <c r="W46" s="648" t="s">
        <v>154</v>
      </c>
      <c r="X46" s="649">
        <f>SUM(T46:W46)</f>
        <v>93</v>
      </c>
      <c r="Y46" s="524">
        <f>2*X46</f>
        <v>186</v>
      </c>
      <c r="Z46" s="525">
        <f>Y46+(23)</f>
        <v>209</v>
      </c>
      <c r="AA46" s="624">
        <f>Z46-H46</f>
        <v>39.72</v>
      </c>
      <c r="AB46" s="624">
        <f>Z46-I46</f>
        <v>115.89599999999999</v>
      </c>
      <c r="AC46" s="607">
        <v>460</v>
      </c>
      <c r="AD46" s="624">
        <f>(33.89)+(AC46*0.2095)</f>
        <v>130.26</v>
      </c>
      <c r="AE46" s="624">
        <f>X46-U46+AD46</f>
        <v>130.26</v>
      </c>
      <c r="AF46" s="368">
        <f>2*AE46</f>
        <v>260.52</v>
      </c>
      <c r="AG46" s="323">
        <f>AF46+(23)</f>
        <v>283.52</v>
      </c>
      <c r="AH46" s="623">
        <f>AG46-I46</f>
        <v>190.41599999999997</v>
      </c>
      <c r="AI46" s="1263" t="s">
        <v>1018</v>
      </c>
      <c r="AJ46" s="1262">
        <v>86</v>
      </c>
      <c r="AK46" s="673">
        <f>(2*AJ46)+(2*71)+(2*45)</f>
        <v>404</v>
      </c>
      <c r="AL46" s="1262">
        <f>S46-AK46</f>
        <v>78</v>
      </c>
      <c r="AM46" s="707" t="s">
        <v>13</v>
      </c>
      <c r="AN46" s="273">
        <f>(153)+(23)</f>
        <v>176</v>
      </c>
      <c r="AO46" s="274">
        <f>Z46-AN46</f>
        <v>33</v>
      </c>
      <c r="AP46" s="1062"/>
      <c r="AQ46" s="342" t="s">
        <v>752</v>
      </c>
      <c r="AR46" s="276">
        <f>H46</f>
        <v>169.28</v>
      </c>
      <c r="AS46" s="261">
        <f>Z46</f>
        <v>209</v>
      </c>
      <c r="AT46" s="261">
        <f>AN46</f>
        <v>176</v>
      </c>
      <c r="AU46" s="804">
        <f>S46-G46</f>
        <v>-260.89999999999998</v>
      </c>
      <c r="AV46" s="343">
        <f>S46-AK46</f>
        <v>78</v>
      </c>
      <c r="AY46" s="382"/>
      <c r="AZ46" s="383"/>
      <c r="BA46" s="393"/>
      <c r="BB46" s="393"/>
      <c r="BC46" s="384"/>
      <c r="BD46" s="1153">
        <f t="shared" si="34"/>
        <v>18</v>
      </c>
      <c r="BE46" s="353"/>
      <c r="BF46" s="372"/>
    </row>
    <row r="47" spans="1:60" s="298" customFormat="1">
      <c r="A47" s="896">
        <f t="shared" si="33"/>
        <v>20</v>
      </c>
      <c r="B47" s="889">
        <f t="shared" si="33"/>
        <v>19</v>
      </c>
      <c r="C47" s="342" t="s">
        <v>578</v>
      </c>
      <c r="D47" s="607">
        <v>392</v>
      </c>
      <c r="E47" s="862">
        <f>2*D47</f>
        <v>784</v>
      </c>
      <c r="F47" s="862">
        <f>2*376</f>
        <v>752</v>
      </c>
      <c r="G47" s="656">
        <f>F47*1.15</f>
        <v>864.8</v>
      </c>
      <c r="H47" s="274">
        <f>(E47*0.23)</f>
        <v>180.32000000000002</v>
      </c>
      <c r="I47" s="273">
        <f>0.5*(H47*1.1)</f>
        <v>99.176000000000016</v>
      </c>
      <c r="J47" s="656" t="s">
        <v>154</v>
      </c>
      <c r="K47" s="656" t="s">
        <v>154</v>
      </c>
      <c r="L47" s="656">
        <f>236-19</f>
        <v>217</v>
      </c>
      <c r="M47" s="656" t="s">
        <v>154</v>
      </c>
      <c r="N47" s="656" t="s">
        <v>154</v>
      </c>
      <c r="O47" s="656" t="s">
        <v>154</v>
      </c>
      <c r="P47" s="656" t="s">
        <v>154</v>
      </c>
      <c r="Q47" s="656">
        <f>SUM(J47:P47)</f>
        <v>217</v>
      </c>
      <c r="R47" s="610">
        <f>2*Q47</f>
        <v>434</v>
      </c>
      <c r="S47" s="690">
        <f>R47+(2*71)</f>
        <v>576</v>
      </c>
      <c r="T47" s="648" t="s">
        <v>154</v>
      </c>
      <c r="U47" s="624">
        <v>93</v>
      </c>
      <c r="V47" s="648" t="s">
        <v>154</v>
      </c>
      <c r="W47" s="648" t="s">
        <v>154</v>
      </c>
      <c r="X47" s="649">
        <f>SUM(T47:W47)</f>
        <v>93</v>
      </c>
      <c r="Y47" s="524">
        <f>2*X47</f>
        <v>186</v>
      </c>
      <c r="Z47" s="525">
        <f>Y47+(23)</f>
        <v>209</v>
      </c>
      <c r="AA47" s="624">
        <f>Z47-H47</f>
        <v>28.679999999999978</v>
      </c>
      <c r="AB47" s="624">
        <f>Z47-I47</f>
        <v>109.82399999999998</v>
      </c>
      <c r="AC47" s="607">
        <f>480-15</f>
        <v>465</v>
      </c>
      <c r="AD47" s="624">
        <f>(33.89)+(AC47*0.2095)</f>
        <v>131.3075</v>
      </c>
      <c r="AE47" s="624">
        <f>X47-U47+AD47</f>
        <v>131.3075</v>
      </c>
      <c r="AF47" s="368">
        <f>2*AE47</f>
        <v>262.61500000000001</v>
      </c>
      <c r="AG47" s="323">
        <f>AF47+(23)</f>
        <v>285.61500000000001</v>
      </c>
      <c r="AH47" s="623">
        <f>AG47-I47</f>
        <v>186.43899999999999</v>
      </c>
      <c r="AI47" s="1263" t="s">
        <v>1001</v>
      </c>
      <c r="AJ47" s="1262">
        <v>90</v>
      </c>
      <c r="AK47" s="673">
        <f>(2*AJ47)+(2*71)+(2*45)</f>
        <v>412</v>
      </c>
      <c r="AL47" s="1262">
        <f>S47-AK47</f>
        <v>164</v>
      </c>
      <c r="AM47" s="623">
        <f>15+15</f>
        <v>30</v>
      </c>
      <c r="AN47" s="273">
        <f>(89)+(23)+AM47</f>
        <v>142</v>
      </c>
      <c r="AO47" s="274">
        <f>Z47-AN47</f>
        <v>67</v>
      </c>
      <c r="AP47" s="1062"/>
      <c r="AQ47" s="342" t="s">
        <v>30</v>
      </c>
      <c r="AR47" s="276">
        <f>H47</f>
        <v>180.32000000000002</v>
      </c>
      <c r="AS47" s="261">
        <f>Z47</f>
        <v>209</v>
      </c>
      <c r="AT47" s="261">
        <f>AN47</f>
        <v>142</v>
      </c>
      <c r="AU47" s="804">
        <f>S47-G47</f>
        <v>-288.79999999999995</v>
      </c>
      <c r="AV47" s="343">
        <f>S47-AK47</f>
        <v>164</v>
      </c>
      <c r="AY47" s="382"/>
      <c r="AZ47" s="383"/>
      <c r="BB47" s="393"/>
      <c r="BC47" s="384"/>
      <c r="BD47" s="1153">
        <f t="shared" si="34"/>
        <v>19</v>
      </c>
      <c r="BE47" s="975"/>
      <c r="BF47" s="372"/>
      <c r="BH47" s="135"/>
    </row>
    <row r="48" spans="1:60" s="298" customFormat="1">
      <c r="A48" s="896">
        <f t="shared" si="33"/>
        <v>21</v>
      </c>
      <c r="B48" s="889">
        <f t="shared" si="33"/>
        <v>20</v>
      </c>
      <c r="C48" s="342" t="s">
        <v>1009</v>
      </c>
      <c r="D48" s="607">
        <v>400</v>
      </c>
      <c r="E48" s="656">
        <f>2*D48</f>
        <v>800</v>
      </c>
      <c r="F48" s="862">
        <f>2*400</f>
        <v>800</v>
      </c>
      <c r="G48" s="656">
        <f>F48*1.15</f>
        <v>919.99999999999989</v>
      </c>
      <c r="H48" s="274">
        <f>(E48*0.23)</f>
        <v>184</v>
      </c>
      <c r="I48" s="273">
        <f>0.5*(H48*1.1)</f>
        <v>101.2</v>
      </c>
      <c r="J48" s="656" t="s">
        <v>154</v>
      </c>
      <c r="K48" s="656" t="s">
        <v>154</v>
      </c>
      <c r="L48" s="656">
        <f>188-19</f>
        <v>169</v>
      </c>
      <c r="M48" s="656">
        <v>15</v>
      </c>
      <c r="N48" s="656">
        <v>81</v>
      </c>
      <c r="O48" s="656" t="s">
        <v>154</v>
      </c>
      <c r="P48" s="656" t="s">
        <v>154</v>
      </c>
      <c r="Q48" s="656">
        <f>SUM(J48:P48)</f>
        <v>265</v>
      </c>
      <c r="R48" s="610">
        <f>2*Q48</f>
        <v>530</v>
      </c>
      <c r="S48" s="690">
        <f>R48+(2*71)</f>
        <v>672</v>
      </c>
      <c r="T48" s="648" t="s">
        <v>154</v>
      </c>
      <c r="U48" s="624">
        <v>93</v>
      </c>
      <c r="V48" s="639">
        <v>1.75</v>
      </c>
      <c r="W48" s="648" t="s">
        <v>154</v>
      </c>
      <c r="X48" s="649">
        <f>SUM(T48:W48)</f>
        <v>94.75</v>
      </c>
      <c r="Y48" s="524">
        <f>2*X48</f>
        <v>189.5</v>
      </c>
      <c r="Z48" s="525">
        <f>Y48+(23)</f>
        <v>212.5</v>
      </c>
      <c r="AA48" s="655">
        <f>Z48-H48</f>
        <v>28.5</v>
      </c>
      <c r="AB48" s="624">
        <f>Z48-I48</f>
        <v>111.3</v>
      </c>
      <c r="AC48" s="613">
        <f>466-15</f>
        <v>451</v>
      </c>
      <c r="AD48" s="624">
        <f>(33.89)+(AC48*0.2095)</f>
        <v>128.37450000000001</v>
      </c>
      <c r="AE48" s="624">
        <f>X48-U48+AD48</f>
        <v>130.12450000000001</v>
      </c>
      <c r="AF48" s="368">
        <f>2*AE48</f>
        <v>260.24900000000002</v>
      </c>
      <c r="AG48" s="323">
        <f>AF48+(23)</f>
        <v>283.24900000000002</v>
      </c>
      <c r="AH48" s="623">
        <f>AG48-I48</f>
        <v>182.04900000000004</v>
      </c>
      <c r="AI48" s="1263" t="s">
        <v>1019</v>
      </c>
      <c r="AJ48" s="672">
        <v>88</v>
      </c>
      <c r="AK48" s="673">
        <f>(2*AJ48)+(2*71)+(2*45)</f>
        <v>408</v>
      </c>
      <c r="AL48" s="673">
        <f>S48-AK48</f>
        <v>264</v>
      </c>
      <c r="AM48" s="624">
        <v>15</v>
      </c>
      <c r="AN48" s="273">
        <f>(149)+(23)+AM48</f>
        <v>187</v>
      </c>
      <c r="AO48" s="274">
        <f>Z48-AN48</f>
        <v>25.5</v>
      </c>
      <c r="AP48" s="1055"/>
      <c r="AQ48" s="342" t="s">
        <v>170</v>
      </c>
      <c r="AR48" s="276">
        <f>H48</f>
        <v>184</v>
      </c>
      <c r="AS48" s="261">
        <f>Z48</f>
        <v>212.5</v>
      </c>
      <c r="AT48" s="261">
        <f>AN48</f>
        <v>187</v>
      </c>
      <c r="AU48" s="804">
        <f>S48-G48</f>
        <v>-247.99999999999989</v>
      </c>
      <c r="AV48" s="343">
        <f>S48-AK48</f>
        <v>264</v>
      </c>
      <c r="BC48" s="384"/>
      <c r="BD48" s="1153">
        <f t="shared" si="34"/>
        <v>20</v>
      </c>
      <c r="BE48" s="975"/>
      <c r="BF48" s="372"/>
      <c r="BH48" s="135"/>
    </row>
    <row r="49" spans="1:58" ht="15" customHeight="1">
      <c r="B49" s="427"/>
      <c r="C49" s="1916" t="s">
        <v>11</v>
      </c>
      <c r="D49" s="1918" t="s">
        <v>1004</v>
      </c>
      <c r="E49" s="1707"/>
      <c r="F49" s="1930" t="s">
        <v>1005</v>
      </c>
      <c r="G49" s="1997" t="s">
        <v>1006</v>
      </c>
      <c r="H49" s="1995" t="s">
        <v>345</v>
      </c>
      <c r="I49" s="1947"/>
      <c r="J49" s="1931"/>
      <c r="K49" s="1931"/>
      <c r="L49" s="1884" t="s">
        <v>218</v>
      </c>
      <c r="M49" s="1884" t="s">
        <v>219</v>
      </c>
      <c r="N49" s="1987" t="s">
        <v>1010</v>
      </c>
      <c r="O49" s="69"/>
      <c r="P49" s="69"/>
      <c r="Q49" s="69"/>
      <c r="R49" s="334"/>
      <c r="S49" s="1799" t="s">
        <v>1012</v>
      </c>
      <c r="T49" s="1934"/>
      <c r="U49" s="1869" t="s">
        <v>999</v>
      </c>
      <c r="V49" s="1980" t="s">
        <v>1015</v>
      </c>
      <c r="W49" s="194"/>
      <c r="X49" s="65"/>
      <c r="Y49" s="112"/>
      <c r="Z49" s="1799" t="s">
        <v>1014</v>
      </c>
      <c r="AA49" s="92"/>
      <c r="AB49" s="1801" t="s">
        <v>349</v>
      </c>
      <c r="AC49" s="2006" t="s">
        <v>1016</v>
      </c>
      <c r="AD49" s="1981" t="s">
        <v>350</v>
      </c>
      <c r="AE49" s="64"/>
      <c r="AF49" s="247"/>
      <c r="AG49" s="1799" t="s">
        <v>1014</v>
      </c>
      <c r="AH49" s="1977"/>
      <c r="AI49" s="1162"/>
      <c r="AJ49" s="1970" t="s">
        <v>1148</v>
      </c>
      <c r="AK49" s="1956"/>
      <c r="AL49" s="128"/>
      <c r="AM49" s="128"/>
      <c r="AN49" s="1910" t="s">
        <v>1020</v>
      </c>
      <c r="AO49" s="73"/>
      <c r="AP49" s="1969"/>
      <c r="AQ49" s="1972"/>
      <c r="AR49" s="333"/>
      <c r="AS49" s="585"/>
      <c r="AT49" s="333"/>
      <c r="AU49" s="333"/>
      <c r="AV49" s="337"/>
      <c r="AW49" s="337"/>
      <c r="AX49" s="337"/>
      <c r="AY49" s="337"/>
      <c r="AZ49" s="337"/>
      <c r="BA49" s="337"/>
      <c r="BB49" s="15"/>
      <c r="BC49" s="338"/>
      <c r="BD49" s="385"/>
      <c r="BE49" s="338"/>
    </row>
    <row r="50" spans="1:58">
      <c r="B50" s="427"/>
      <c r="C50" s="1916"/>
      <c r="D50" s="1919"/>
      <c r="E50" s="1707"/>
      <c r="F50" s="1930"/>
      <c r="G50" s="1997"/>
      <c r="H50" s="1995"/>
      <c r="I50" s="1879"/>
      <c r="J50" s="1932"/>
      <c r="K50" s="1996"/>
      <c r="L50" s="1928"/>
      <c r="M50" s="1928"/>
      <c r="N50" s="1688"/>
      <c r="O50" s="69"/>
      <c r="P50" s="69"/>
      <c r="Q50" s="69"/>
      <c r="R50" s="334"/>
      <c r="S50" s="1800"/>
      <c r="T50" s="1934"/>
      <c r="U50" s="1737"/>
      <c r="V50" s="1707"/>
      <c r="W50" s="314"/>
      <c r="X50" s="65"/>
      <c r="Y50" s="112"/>
      <c r="Z50" s="1800"/>
      <c r="AA50" s="91"/>
      <c r="AB50" s="1802"/>
      <c r="AC50" s="2007"/>
      <c r="AD50" s="1982"/>
      <c r="AE50" s="64"/>
      <c r="AF50" s="248"/>
      <c r="AG50" s="1800"/>
      <c r="AH50" s="1978"/>
      <c r="AI50" s="1164"/>
      <c r="AJ50" s="1970"/>
      <c r="AK50" s="1971"/>
      <c r="AL50" s="128"/>
      <c r="AM50" s="128"/>
      <c r="AN50" s="1802"/>
      <c r="AO50" s="73"/>
      <c r="AP50" s="1969"/>
      <c r="AQ50" s="1973"/>
      <c r="AR50" s="333"/>
      <c r="AS50" s="585"/>
      <c r="AT50" s="333"/>
      <c r="AU50" s="333"/>
      <c r="AV50" s="337"/>
      <c r="AW50" s="337"/>
      <c r="AX50" s="337"/>
      <c r="AY50" s="337"/>
      <c r="AZ50" s="337"/>
      <c r="BA50" s="337"/>
      <c r="BB50" s="15"/>
      <c r="BC50" s="338"/>
      <c r="BD50" s="338"/>
      <c r="BE50" s="338"/>
    </row>
    <row r="51" spans="1:58">
      <c r="B51" s="427"/>
      <c r="C51" s="1916"/>
      <c r="D51" s="1919"/>
      <c r="E51" s="1707"/>
      <c r="F51" s="1930"/>
      <c r="G51" s="1997"/>
      <c r="H51" s="1995"/>
      <c r="I51" s="1879"/>
      <c r="J51" s="1932"/>
      <c r="K51" s="1996"/>
      <c r="L51" s="1928"/>
      <c r="M51" s="1928"/>
      <c r="N51" s="1688"/>
      <c r="O51" s="69"/>
      <c r="P51" s="69"/>
      <c r="Q51" s="69"/>
      <c r="R51" s="334"/>
      <c r="S51" s="1800"/>
      <c r="T51" s="1934"/>
      <c r="U51" s="1737"/>
      <c r="V51" s="1707"/>
      <c r="W51" s="314"/>
      <c r="X51" s="65"/>
      <c r="Y51" s="112"/>
      <c r="Z51" s="1800"/>
      <c r="AA51" s="91"/>
      <c r="AB51" s="1802"/>
      <c r="AC51" s="2007"/>
      <c r="AD51" s="1982"/>
      <c r="AE51" s="64"/>
      <c r="AF51" s="248"/>
      <c r="AG51" s="1800"/>
      <c r="AH51" s="1978"/>
      <c r="AI51" s="1164"/>
      <c r="AJ51" s="1970"/>
      <c r="AK51" s="1971"/>
      <c r="AL51" s="128"/>
      <c r="AM51" s="128"/>
      <c r="AN51" s="1802"/>
      <c r="AO51" s="73"/>
      <c r="AP51" s="1969"/>
      <c r="AQ51" s="1973"/>
      <c r="AR51" s="333"/>
      <c r="AS51" s="585"/>
      <c r="AT51" s="333"/>
      <c r="AU51" s="333"/>
      <c r="AV51" s="337"/>
      <c r="AW51" s="337"/>
      <c r="AX51" s="337"/>
      <c r="AY51" s="337"/>
      <c r="AZ51" s="337"/>
      <c r="BA51" s="337"/>
      <c r="BB51" s="15"/>
      <c r="BC51" s="338"/>
      <c r="BD51" s="338"/>
      <c r="BE51" s="338"/>
    </row>
    <row r="52" spans="1:58">
      <c r="B52" s="427"/>
      <c r="C52" s="1916"/>
      <c r="D52" s="1919"/>
      <c r="E52" s="1707"/>
      <c r="F52" s="1930"/>
      <c r="G52" s="1997"/>
      <c r="H52" s="1995"/>
      <c r="I52" s="1879"/>
      <c r="J52" s="1932"/>
      <c r="K52" s="1996"/>
      <c r="L52" s="1928"/>
      <c r="M52" s="1928"/>
      <c r="N52" s="1688"/>
      <c r="O52" s="69"/>
      <c r="P52" s="69"/>
      <c r="Q52" s="69"/>
      <c r="R52" s="334"/>
      <c r="S52" s="1800"/>
      <c r="T52" s="1934"/>
      <c r="U52" s="1737"/>
      <c r="V52" s="1707"/>
      <c r="W52" s="314"/>
      <c r="X52" s="65"/>
      <c r="Y52" s="112"/>
      <c r="Z52" s="1800"/>
      <c r="AA52" s="91"/>
      <c r="AB52" s="1802"/>
      <c r="AC52" s="2007"/>
      <c r="AD52" s="1982"/>
      <c r="AE52" s="64"/>
      <c r="AF52" s="248"/>
      <c r="AG52" s="1800"/>
      <c r="AH52" s="1978"/>
      <c r="AI52" s="1164"/>
      <c r="AJ52" s="1970"/>
      <c r="AK52" s="1971"/>
      <c r="AL52" s="128"/>
      <c r="AM52" s="128"/>
      <c r="AN52" s="1802"/>
      <c r="AO52" s="73"/>
      <c r="AP52" s="1969"/>
      <c r="AQ52" s="1973"/>
      <c r="AR52" s="333"/>
      <c r="AS52" s="585"/>
      <c r="AT52" s="333"/>
      <c r="AU52" s="333"/>
      <c r="AV52" s="337"/>
      <c r="AW52" s="337"/>
      <c r="AX52" s="337"/>
      <c r="AY52" s="337"/>
      <c r="AZ52" s="337"/>
      <c r="BA52" s="337"/>
      <c r="BB52" s="15"/>
      <c r="BC52" s="338"/>
      <c r="BD52" s="338"/>
      <c r="BE52" s="338"/>
    </row>
    <row r="53" spans="1:58">
      <c r="B53" s="427"/>
      <c r="C53" s="1916"/>
      <c r="D53" s="1919"/>
      <c r="E53" s="1707"/>
      <c r="F53" s="1930"/>
      <c r="G53" s="1997"/>
      <c r="H53" s="1995"/>
      <c r="I53" s="1879"/>
      <c r="J53" s="1932"/>
      <c r="K53" s="1996"/>
      <c r="L53" s="1928"/>
      <c r="M53" s="1928"/>
      <c r="N53" s="1688"/>
      <c r="O53" s="69"/>
      <c r="P53" s="69"/>
      <c r="Q53" s="69"/>
      <c r="R53" s="334"/>
      <c r="S53" s="1800"/>
      <c r="T53" s="1934"/>
      <c r="U53" s="1737"/>
      <c r="V53" s="1707"/>
      <c r="W53" s="314"/>
      <c r="X53" s="65"/>
      <c r="Y53" s="112"/>
      <c r="Z53" s="1800"/>
      <c r="AA53" s="91"/>
      <c r="AB53" s="1802"/>
      <c r="AC53" s="2007"/>
      <c r="AD53" s="1982"/>
      <c r="AE53" s="64"/>
      <c r="AF53" s="249"/>
      <c r="AG53" s="1800"/>
      <c r="AH53" s="1978"/>
      <c r="AI53" s="1164"/>
      <c r="AJ53" s="1970"/>
      <c r="AK53" s="1971"/>
      <c r="AL53" s="128"/>
      <c r="AM53" s="128"/>
      <c r="AN53" s="1802"/>
      <c r="AO53" s="73"/>
      <c r="AP53" s="1969"/>
      <c r="AQ53" s="1973"/>
      <c r="AR53" s="333"/>
      <c r="AS53" s="585"/>
      <c r="AT53" s="333"/>
      <c r="AU53" s="333"/>
      <c r="AV53" s="512" t="s">
        <v>105</v>
      </c>
      <c r="AW53" s="337"/>
      <c r="AX53" s="337"/>
      <c r="AY53" s="337"/>
      <c r="AZ53" s="337"/>
      <c r="BA53" s="337"/>
      <c r="BB53" s="15"/>
      <c r="BC53" s="338"/>
      <c r="BD53" s="338"/>
      <c r="BE53" s="338"/>
    </row>
    <row r="54" spans="1:58">
      <c r="B54" s="427"/>
      <c r="C54" s="1916"/>
      <c r="D54" s="1919"/>
      <c r="E54" s="1707"/>
      <c r="F54" s="1930"/>
      <c r="G54" s="1997"/>
      <c r="H54" s="1995"/>
      <c r="I54" s="1879"/>
      <c r="J54" s="1932"/>
      <c r="K54" s="1996"/>
      <c r="L54" s="1928"/>
      <c r="M54" s="1928"/>
      <c r="N54" s="1688"/>
      <c r="O54" s="69"/>
      <c r="P54" s="69"/>
      <c r="Q54" s="69"/>
      <c r="R54" s="334"/>
      <c r="S54" s="1800"/>
      <c r="T54" s="1934"/>
      <c r="U54" s="1737"/>
      <c r="V54" s="1707"/>
      <c r="W54" s="314"/>
      <c r="X54" s="65"/>
      <c r="Y54" s="112"/>
      <c r="Z54" s="1800"/>
      <c r="AA54" s="91"/>
      <c r="AB54" s="1802"/>
      <c r="AC54" s="2007"/>
      <c r="AD54" s="1982"/>
      <c r="AE54" s="64"/>
      <c r="AF54" s="249"/>
      <c r="AG54" s="1800"/>
      <c r="AH54" s="1978"/>
      <c r="AI54" s="1164"/>
      <c r="AJ54" s="1970"/>
      <c r="AK54" s="1971"/>
      <c r="AL54" s="128"/>
      <c r="AM54" s="128"/>
      <c r="AN54" s="1802"/>
      <c r="AO54" s="73"/>
      <c r="AP54" s="1969"/>
      <c r="AQ54" s="1973"/>
      <c r="AR54" s="333"/>
      <c r="AS54" s="585"/>
      <c r="AT54" s="333"/>
      <c r="AU54" s="333"/>
      <c r="AV54" s="337"/>
      <c r="AW54" s="337"/>
      <c r="AX54" s="337"/>
      <c r="AY54" s="337"/>
      <c r="AZ54" s="337"/>
      <c r="BA54" s="337"/>
      <c r="BB54" s="15"/>
      <c r="BC54" s="338"/>
      <c r="BD54" s="338"/>
      <c r="BE54" s="338"/>
    </row>
    <row r="55" spans="1:58">
      <c r="B55" s="427"/>
      <c r="C55" s="1916"/>
      <c r="D55" s="1919"/>
      <c r="E55" s="1707"/>
      <c r="F55" s="1930"/>
      <c r="G55" s="1997"/>
      <c r="H55" s="1995"/>
      <c r="I55" s="1879"/>
      <c r="J55" s="1932"/>
      <c r="K55" s="1996"/>
      <c r="L55" s="1928"/>
      <c r="M55" s="1928"/>
      <c r="N55" s="1688"/>
      <c r="O55" s="69"/>
      <c r="P55" s="69"/>
      <c r="Q55" s="69"/>
      <c r="R55" s="334"/>
      <c r="S55" s="1800"/>
      <c r="T55" s="1934"/>
      <c r="U55" s="1737"/>
      <c r="V55" s="1707"/>
      <c r="W55" s="314"/>
      <c r="X55" s="65"/>
      <c r="Y55" s="112"/>
      <c r="Z55" s="1800"/>
      <c r="AA55" s="91"/>
      <c r="AB55" s="1802"/>
      <c r="AC55" s="2007"/>
      <c r="AD55" s="1982"/>
      <c r="AE55" s="64"/>
      <c r="AF55" s="249"/>
      <c r="AG55" s="1800"/>
      <c r="AH55" s="1979"/>
      <c r="AI55" s="1164"/>
      <c r="AJ55" s="1970"/>
      <c r="AK55" s="1971"/>
      <c r="AL55" s="128"/>
      <c r="AM55" s="128"/>
      <c r="AN55" s="1802"/>
      <c r="AO55" s="73"/>
      <c r="AP55" s="1969"/>
      <c r="AQ55" s="1973"/>
      <c r="AR55" s="333"/>
      <c r="AS55" s="585"/>
      <c r="AT55" s="333"/>
      <c r="AU55" s="333"/>
      <c r="AV55" s="1608"/>
      <c r="AW55" s="337"/>
      <c r="AX55" s="337"/>
      <c r="AY55" s="337"/>
      <c r="AZ55" s="337"/>
      <c r="BA55" s="337"/>
      <c r="BB55" s="15"/>
      <c r="BC55" s="338"/>
      <c r="BD55" s="338"/>
      <c r="BE55" s="338"/>
    </row>
    <row r="56" spans="1:58">
      <c r="B56" s="427"/>
      <c r="C56" s="1916"/>
      <c r="D56" s="1919"/>
      <c r="E56" s="1707"/>
      <c r="F56" s="1930"/>
      <c r="G56" s="1997"/>
      <c r="H56" s="1995"/>
      <c r="I56" s="1879"/>
      <c r="J56" s="1932"/>
      <c r="K56" s="1996"/>
      <c r="L56" s="1928"/>
      <c r="M56" s="1928"/>
      <c r="N56" s="1688"/>
      <c r="O56" s="69"/>
      <c r="P56" s="69"/>
      <c r="Q56" s="69"/>
      <c r="R56" s="334"/>
      <c r="S56" s="1800"/>
      <c r="T56" s="1934"/>
      <c r="U56" s="1737"/>
      <c r="V56" s="1707"/>
      <c r="W56" s="314"/>
      <c r="X56" s="65"/>
      <c r="Y56" s="112"/>
      <c r="Z56" s="1800"/>
      <c r="AA56" s="91"/>
      <c r="AB56" s="1802"/>
      <c r="AC56" s="2007"/>
      <c r="AD56" s="1982"/>
      <c r="AE56" s="64"/>
      <c r="AF56" s="249"/>
      <c r="AG56" s="1800"/>
      <c r="AH56" s="1979"/>
      <c r="AI56" s="1164"/>
      <c r="AJ56" s="1970"/>
      <c r="AK56" s="1971"/>
      <c r="AL56" s="128"/>
      <c r="AM56" s="128"/>
      <c r="AN56" s="1802"/>
      <c r="AO56" s="73"/>
      <c r="AP56" s="1969"/>
      <c r="AQ56" s="1973"/>
      <c r="AR56" s="333"/>
      <c r="AS56" s="585"/>
      <c r="AT56" s="333"/>
      <c r="AU56" s="333"/>
      <c r="AV56" s="337"/>
      <c r="AW56" s="337"/>
      <c r="AX56" s="337"/>
      <c r="AY56" s="337"/>
      <c r="AZ56" s="337"/>
      <c r="BA56" s="337"/>
      <c r="BB56" s="15"/>
      <c r="BC56" s="338"/>
      <c r="BD56" s="338"/>
      <c r="BE56" s="338"/>
    </row>
    <row r="57" spans="1:58">
      <c r="B57" s="427"/>
      <c r="C57" s="1916"/>
      <c r="D57" s="1919"/>
      <c r="E57" s="1707"/>
      <c r="F57" s="1930"/>
      <c r="G57" s="1997"/>
      <c r="H57" s="1995"/>
      <c r="I57" s="1879"/>
      <c r="J57" s="1932"/>
      <c r="K57" s="1996"/>
      <c r="L57" s="1928"/>
      <c r="M57" s="1928"/>
      <c r="N57" s="1688"/>
      <c r="O57" s="69"/>
      <c r="P57" s="69"/>
      <c r="Q57" s="69"/>
      <c r="R57" s="334"/>
      <c r="S57" s="1800"/>
      <c r="T57" s="1934"/>
      <c r="U57" s="1737"/>
      <c r="V57" s="1707"/>
      <c r="W57" s="314"/>
      <c r="X57" s="65"/>
      <c r="Y57" s="112"/>
      <c r="Z57" s="1800"/>
      <c r="AA57" s="136" t="s">
        <v>105</v>
      </c>
      <c r="AB57" s="1802"/>
      <c r="AC57" s="2007"/>
      <c r="AD57" s="1982"/>
      <c r="AE57" s="64"/>
      <c r="AF57" s="249"/>
      <c r="AG57" s="1800"/>
      <c r="AH57" s="1979"/>
      <c r="AI57" s="1164"/>
      <c r="AJ57" s="1970"/>
      <c r="AK57" s="1971"/>
      <c r="AL57" s="128"/>
      <c r="AM57" s="128"/>
      <c r="AN57" s="1802"/>
      <c r="AO57" s="73"/>
      <c r="AP57" s="1969"/>
      <c r="AQ57" s="1973"/>
      <c r="AR57" s="333"/>
      <c r="AS57" s="585"/>
      <c r="AT57" s="333"/>
      <c r="AU57" s="333"/>
      <c r="AV57" s="337"/>
      <c r="AW57" s="512" t="s">
        <v>105</v>
      </c>
      <c r="AX57" s="337"/>
      <c r="AY57" s="337"/>
      <c r="AZ57" s="337"/>
      <c r="BA57" s="337"/>
      <c r="BB57" s="15"/>
      <c r="BC57" s="338"/>
      <c r="BD57" s="338"/>
      <c r="BE57" s="338"/>
    </row>
    <row r="58" spans="1:58" ht="215" customHeight="1">
      <c r="B58" s="427"/>
      <c r="C58" s="1916"/>
      <c r="D58" s="1919"/>
      <c r="E58" s="1707"/>
      <c r="F58" s="1930"/>
      <c r="G58" s="1997"/>
      <c r="H58" s="1995"/>
      <c r="I58" s="1879"/>
      <c r="J58" s="1932"/>
      <c r="K58" s="1996"/>
      <c r="L58" s="1928"/>
      <c r="M58" s="1928"/>
      <c r="N58" s="1688"/>
      <c r="O58" s="69"/>
      <c r="P58" s="69"/>
      <c r="Q58" s="69"/>
      <c r="R58" s="334"/>
      <c r="S58" s="1800"/>
      <c r="T58" s="1934"/>
      <c r="U58" s="1737"/>
      <c r="V58" s="1707"/>
      <c r="W58" s="314"/>
      <c r="X58" s="65"/>
      <c r="Y58" s="112"/>
      <c r="Z58" s="1800"/>
      <c r="AA58" s="91"/>
      <c r="AB58" s="1802"/>
      <c r="AC58" s="2007"/>
      <c r="AD58" s="1982"/>
      <c r="AE58" s="64"/>
      <c r="AF58" s="249"/>
      <c r="AG58" s="1800"/>
      <c r="AH58" s="1979"/>
      <c r="AI58" s="1164"/>
      <c r="AJ58" s="1970"/>
      <c r="AK58" s="1971"/>
      <c r="AL58" s="128"/>
      <c r="AM58" s="128"/>
      <c r="AN58" s="1800"/>
      <c r="AO58" s="73"/>
      <c r="AP58" s="1969"/>
      <c r="AQ58" s="1973"/>
      <c r="AR58" s="333"/>
      <c r="AS58" s="585"/>
      <c r="AT58" s="333"/>
      <c r="AU58" s="333"/>
      <c r="AV58" s="337"/>
      <c r="AW58" s="337"/>
      <c r="AX58" s="337"/>
      <c r="AY58" s="337"/>
      <c r="AZ58" s="337"/>
      <c r="BA58" s="337"/>
      <c r="BB58" s="15"/>
      <c r="BC58" s="338"/>
      <c r="BD58" s="338"/>
      <c r="BE58" s="338"/>
    </row>
    <row r="59" spans="1:58" ht="15" customHeight="1">
      <c r="B59" s="427"/>
      <c r="C59" s="86"/>
      <c r="D59" s="25"/>
      <c r="E59" s="25"/>
      <c r="F59" s="25"/>
      <c r="G59" s="25"/>
      <c r="H59" s="268"/>
      <c r="I59" s="172"/>
      <c r="J59" s="69"/>
      <c r="K59" s="69"/>
      <c r="L59" s="69"/>
      <c r="M59" s="69"/>
      <c r="N59" s="1688"/>
      <c r="O59" s="69"/>
      <c r="P59" s="69"/>
      <c r="Q59" s="69"/>
      <c r="R59" s="84"/>
      <c r="S59" s="65"/>
      <c r="T59" s="65"/>
      <c r="U59" s="1453"/>
      <c r="V59" s="1707"/>
      <c r="W59" s="314"/>
      <c r="X59" s="65"/>
      <c r="Y59" s="403"/>
      <c r="Z59" s="69"/>
      <c r="AA59" s="91"/>
      <c r="AB59" s="332"/>
      <c r="AC59" s="62"/>
      <c r="AD59" s="62"/>
      <c r="AE59" s="64"/>
      <c r="AF59" s="404"/>
      <c r="AG59" s="405"/>
      <c r="AH59" s="69"/>
      <c r="AI59" s="1097"/>
      <c r="AJ59" s="27"/>
      <c r="AK59" s="315"/>
      <c r="AL59" s="128"/>
      <c r="AM59" s="128"/>
      <c r="AN59" s="640"/>
      <c r="AO59" s="73"/>
      <c r="AP59" s="1969"/>
      <c r="AQ59" s="1973"/>
      <c r="AR59" s="333"/>
      <c r="AS59" s="585"/>
      <c r="AT59" s="333"/>
      <c r="AU59" s="333"/>
      <c r="AV59" s="337"/>
      <c r="AW59" s="337"/>
      <c r="AX59" s="337"/>
      <c r="AY59" s="337"/>
      <c r="AZ59" s="337"/>
      <c r="BA59" s="337"/>
      <c r="BB59" s="15"/>
      <c r="BC59" s="338"/>
      <c r="BD59" s="338"/>
      <c r="BE59" s="338"/>
    </row>
    <row r="61" spans="1:58" s="14" customFormat="1">
      <c r="A61" s="927"/>
      <c r="B61" s="428"/>
      <c r="C61" s="1924"/>
      <c r="D61" s="1924"/>
      <c r="E61" s="1924"/>
      <c r="F61" s="1924"/>
      <c r="G61" s="1924"/>
      <c r="H61" s="1924"/>
      <c r="I61" s="1924"/>
      <c r="J61" s="1924"/>
      <c r="K61" s="1924"/>
      <c r="L61" s="1924"/>
      <c r="M61" s="1924"/>
      <c r="N61" s="1924"/>
      <c r="O61" s="1924"/>
      <c r="P61" s="1924"/>
      <c r="Q61" s="1924"/>
      <c r="R61" s="1924"/>
      <c r="S61" s="1924"/>
      <c r="T61" s="1914"/>
      <c r="U61" s="1914"/>
      <c r="V61" s="1914"/>
      <c r="W61" s="1914"/>
      <c r="X61" s="1914"/>
      <c r="Y61" s="1914"/>
      <c r="Z61" s="1914"/>
      <c r="AA61" s="1914"/>
      <c r="AB61" s="1914"/>
      <c r="AC61" s="1914"/>
      <c r="AD61" s="1914"/>
      <c r="AE61" s="1914"/>
      <c r="AF61" s="1914"/>
      <c r="AG61" s="1914"/>
      <c r="AH61" s="1914"/>
      <c r="AI61" s="1914"/>
      <c r="AJ61" s="1914"/>
      <c r="AK61" s="1914"/>
      <c r="AL61" s="1914"/>
      <c r="AM61" s="1914"/>
      <c r="AN61" s="1914"/>
      <c r="AO61" s="1914"/>
      <c r="AP61" s="1167"/>
      <c r="AQ61" s="598"/>
      <c r="AR61" s="598"/>
      <c r="AS61" s="598"/>
      <c r="AT61" s="217"/>
      <c r="AU61" s="218"/>
      <c r="AV61" s="598"/>
      <c r="AW61" s="598"/>
      <c r="AX61" s="598"/>
      <c r="AY61" s="598"/>
      <c r="AZ61" s="598"/>
      <c r="BA61" s="598"/>
      <c r="BB61" s="598"/>
      <c r="BC61" s="216"/>
      <c r="BD61" s="216"/>
      <c r="BE61" s="216"/>
    </row>
    <row r="62" spans="1:58" s="1229" customFormat="1" ht="32" customHeight="1">
      <c r="A62" s="1329"/>
      <c r="B62" s="1577" t="s">
        <v>100</v>
      </c>
      <c r="C62" s="1572" t="s">
        <v>35</v>
      </c>
      <c r="D62" s="1929" t="s">
        <v>2</v>
      </c>
      <c r="E62" s="1691"/>
      <c r="F62" s="1691"/>
      <c r="G62" s="1691"/>
      <c r="H62" s="1691"/>
      <c r="I62" s="1770"/>
      <c r="J62" s="1788" t="s">
        <v>645</v>
      </c>
      <c r="K62" s="1789"/>
      <c r="L62" s="1790"/>
      <c r="M62" s="1790"/>
      <c r="N62" s="1790"/>
      <c r="O62" s="1790"/>
      <c r="P62" s="1791"/>
      <c r="Q62" s="1790"/>
      <c r="R62" s="1684" t="s">
        <v>882</v>
      </c>
      <c r="S62" s="1779"/>
      <c r="T62" s="1786" t="s">
        <v>664</v>
      </c>
      <c r="U62" s="1787"/>
      <c r="V62" s="1787"/>
      <c r="W62" s="1787"/>
      <c r="X62" s="1787"/>
      <c r="Y62" s="1811" t="s">
        <v>648</v>
      </c>
      <c r="Z62" s="1812"/>
      <c r="AA62" s="1276"/>
      <c r="AB62" s="1276"/>
      <c r="AC62" s="1784" t="s">
        <v>162</v>
      </c>
      <c r="AD62" s="1785"/>
      <c r="AE62" s="1785"/>
      <c r="AF62" s="1782" t="s">
        <v>883</v>
      </c>
      <c r="AG62" s="1783"/>
      <c r="AH62" s="1457"/>
      <c r="AI62" s="1823" t="s">
        <v>167</v>
      </c>
      <c r="AJ62" s="1906"/>
      <c r="AK62" s="1906"/>
      <c r="AL62" s="1906"/>
      <c r="AM62" s="1906"/>
      <c r="AN62" s="1907"/>
      <c r="AO62" s="1278"/>
      <c r="AP62" s="1458"/>
      <c r="AQ62" s="1459"/>
      <c r="AR62" s="1459"/>
      <c r="AS62" s="1444"/>
      <c r="AT62" s="1388"/>
      <c r="AU62" s="1368"/>
      <c r="AV62" s="1459"/>
      <c r="AW62" s="1459"/>
      <c r="AX62" s="1459"/>
      <c r="AY62" s="1459"/>
      <c r="AZ62" s="1459"/>
      <c r="BA62" s="1459"/>
      <c r="BB62" s="1459"/>
      <c r="BC62" s="1389"/>
      <c r="BD62" s="1389"/>
      <c r="BE62" s="1389"/>
    </row>
    <row r="63" spans="1:58" s="4" customFormat="1" ht="12">
      <c r="A63" s="773"/>
      <c r="B63" s="143"/>
      <c r="C63" s="505"/>
      <c r="D63" s="226">
        <v>1</v>
      </c>
      <c r="E63" s="227">
        <v>2</v>
      </c>
      <c r="F63" s="227">
        <v>3</v>
      </c>
      <c r="G63" s="227">
        <f t="shared" ref="G63:AO63" si="35">F63+1</f>
        <v>4</v>
      </c>
      <c r="H63" s="227">
        <f t="shared" si="35"/>
        <v>5</v>
      </c>
      <c r="I63" s="227">
        <f t="shared" si="35"/>
        <v>6</v>
      </c>
      <c r="J63" s="227">
        <f t="shared" si="35"/>
        <v>7</v>
      </c>
      <c r="K63" s="227">
        <f t="shared" si="35"/>
        <v>8</v>
      </c>
      <c r="L63" s="227">
        <f t="shared" si="35"/>
        <v>9</v>
      </c>
      <c r="M63" s="227">
        <f t="shared" si="35"/>
        <v>10</v>
      </c>
      <c r="N63" s="227">
        <f t="shared" si="35"/>
        <v>11</v>
      </c>
      <c r="O63" s="227">
        <f t="shared" si="35"/>
        <v>12</v>
      </c>
      <c r="P63" s="227">
        <f t="shared" si="35"/>
        <v>13</v>
      </c>
      <c r="Q63" s="227">
        <f t="shared" si="35"/>
        <v>14</v>
      </c>
      <c r="R63" s="1041">
        <f t="shared" si="35"/>
        <v>15</v>
      </c>
      <c r="S63" s="1042">
        <f t="shared" si="35"/>
        <v>16</v>
      </c>
      <c r="T63" s="226">
        <f t="shared" si="35"/>
        <v>17</v>
      </c>
      <c r="U63" s="230">
        <f t="shared" si="35"/>
        <v>18</v>
      </c>
      <c r="V63" s="230">
        <f t="shared" si="35"/>
        <v>19</v>
      </c>
      <c r="W63" s="230">
        <f t="shared" si="35"/>
        <v>20</v>
      </c>
      <c r="X63" s="228">
        <f t="shared" si="35"/>
        <v>21</v>
      </c>
      <c r="Y63" s="1041">
        <f t="shared" si="35"/>
        <v>22</v>
      </c>
      <c r="Z63" s="1042">
        <f t="shared" si="35"/>
        <v>23</v>
      </c>
      <c r="AA63" s="226">
        <f t="shared" si="35"/>
        <v>24</v>
      </c>
      <c r="AB63" s="228">
        <f t="shared" si="35"/>
        <v>25</v>
      </c>
      <c r="AC63" s="226">
        <f t="shared" si="35"/>
        <v>26</v>
      </c>
      <c r="AD63" s="230">
        <f t="shared" si="35"/>
        <v>27</v>
      </c>
      <c r="AE63" s="228">
        <f t="shared" si="35"/>
        <v>28</v>
      </c>
      <c r="AF63" s="226">
        <f t="shared" si="35"/>
        <v>29</v>
      </c>
      <c r="AG63" s="228">
        <f t="shared" si="35"/>
        <v>30</v>
      </c>
      <c r="AH63" s="226">
        <f>AG63+1</f>
        <v>31</v>
      </c>
      <c r="AI63" s="109">
        <f>AH63+1</f>
        <v>32</v>
      </c>
      <c r="AJ63" s="50">
        <f>AI63+1</f>
        <v>33</v>
      </c>
      <c r="AK63" s="230">
        <f t="shared" si="35"/>
        <v>34</v>
      </c>
      <c r="AL63" s="230">
        <f t="shared" si="35"/>
        <v>35</v>
      </c>
      <c r="AM63" s="50">
        <f>AL63+1</f>
        <v>36</v>
      </c>
      <c r="AN63" s="110">
        <f>AM63+1</f>
        <v>37</v>
      </c>
      <c r="AO63" s="226">
        <f t="shared" si="35"/>
        <v>38</v>
      </c>
      <c r="AP63" s="1054"/>
      <c r="AS63" s="6"/>
      <c r="AT63" s="105"/>
      <c r="AU63" s="124"/>
      <c r="BC63" s="124"/>
      <c r="BD63" s="124"/>
      <c r="BE63" s="124"/>
    </row>
    <row r="64" spans="1:58" ht="135" customHeight="1">
      <c r="C64" s="1311" t="s">
        <v>992</v>
      </c>
      <c r="D64" s="1234" t="s">
        <v>375</v>
      </c>
      <c r="E64" s="1235" t="s">
        <v>376</v>
      </c>
      <c r="F64" s="1236" t="s">
        <v>246</v>
      </c>
      <c r="G64" s="1240" t="s">
        <v>234</v>
      </c>
      <c r="H64" s="805" t="s">
        <v>1028</v>
      </c>
      <c r="I64" s="1002" t="s">
        <v>248</v>
      </c>
      <c r="J64" s="1312" t="s">
        <v>1042</v>
      </c>
      <c r="K64" s="1580" t="s">
        <v>386</v>
      </c>
      <c r="L64" s="1240" t="s">
        <v>642</v>
      </c>
      <c r="M64" s="1580" t="s">
        <v>387</v>
      </c>
      <c r="N64" s="1580" t="s">
        <v>388</v>
      </c>
      <c r="O64" s="1580" t="s">
        <v>254</v>
      </c>
      <c r="P64" s="1236" t="s">
        <v>255</v>
      </c>
      <c r="Q64" s="1580" t="s">
        <v>256</v>
      </c>
      <c r="R64" s="602" t="s">
        <v>383</v>
      </c>
      <c r="S64" s="457" t="s">
        <v>384</v>
      </c>
      <c r="T64" s="1013" t="s">
        <v>389</v>
      </c>
      <c r="U64" s="1040" t="s">
        <v>390</v>
      </c>
      <c r="V64" s="872" t="s">
        <v>391</v>
      </c>
      <c r="W64" s="872" t="s">
        <v>261</v>
      </c>
      <c r="X64" s="872" t="s">
        <v>367</v>
      </c>
      <c r="Y64" s="523" t="s">
        <v>995</v>
      </c>
      <c r="Z64" s="599" t="s">
        <v>996</v>
      </c>
      <c r="AA64" s="1010" t="s">
        <v>265</v>
      </c>
      <c r="AB64" s="1010" t="s">
        <v>266</v>
      </c>
      <c r="AC64" s="1234" t="s">
        <v>267</v>
      </c>
      <c r="AD64" s="1039" t="s">
        <v>369</v>
      </c>
      <c r="AE64" s="1010" t="s">
        <v>269</v>
      </c>
      <c r="AF64" s="605" t="s">
        <v>350</v>
      </c>
      <c r="AG64" s="187" t="s">
        <v>270</v>
      </c>
      <c r="AH64" s="1585" t="s">
        <v>271</v>
      </c>
      <c r="AI64" s="1266" t="s">
        <v>808</v>
      </c>
      <c r="AJ64" s="1267" t="s">
        <v>809</v>
      </c>
      <c r="AK64" s="1318" t="s">
        <v>14</v>
      </c>
      <c r="AL64" s="1466" t="s">
        <v>1</v>
      </c>
      <c r="AM64" s="1010" t="s">
        <v>810</v>
      </c>
      <c r="AN64" s="1020" t="s">
        <v>746</v>
      </c>
      <c r="AO64" s="239" t="s">
        <v>272</v>
      </c>
      <c r="AP64" s="1053"/>
      <c r="AQ64" s="1311" t="s">
        <v>992</v>
      </c>
      <c r="AR64" s="805" t="s">
        <v>357</v>
      </c>
      <c r="AS64" s="988" t="s">
        <v>273</v>
      </c>
      <c r="AT64" s="805" t="s">
        <v>746</v>
      </c>
      <c r="AU64" s="1008" t="s">
        <v>811</v>
      </c>
      <c r="AV64" s="1008" t="s">
        <v>745</v>
      </c>
      <c r="BC64" s="153"/>
      <c r="BD64" s="1149" t="s">
        <v>822</v>
      </c>
      <c r="BE64" s="1112"/>
      <c r="BF64" s="1114"/>
    </row>
    <row r="65" spans="1:60" s="298" customFormat="1">
      <c r="A65" s="896">
        <f>A48+1</f>
        <v>22</v>
      </c>
      <c r="B65" s="889">
        <f>B48+1</f>
        <v>21</v>
      </c>
      <c r="C65" s="342" t="s">
        <v>106</v>
      </c>
      <c r="D65" s="607">
        <v>402</v>
      </c>
      <c r="E65" s="862">
        <f>2*D65</f>
        <v>804</v>
      </c>
      <c r="F65" s="862">
        <f>2*372</f>
        <v>744</v>
      </c>
      <c r="G65" s="656">
        <f>F65*1.15</f>
        <v>855.59999999999991</v>
      </c>
      <c r="H65" s="274">
        <f>(E65*0.23)</f>
        <v>184.92000000000002</v>
      </c>
      <c r="I65" s="273">
        <f>0.5*(H65*1.1)</f>
        <v>101.70600000000002</v>
      </c>
      <c r="J65" s="672" t="s">
        <v>154</v>
      </c>
      <c r="K65" s="656" t="s">
        <v>154</v>
      </c>
      <c r="L65" s="656">
        <f>248-19</f>
        <v>229</v>
      </c>
      <c r="M65" s="656" t="s">
        <v>154</v>
      </c>
      <c r="N65" s="656" t="s">
        <v>154</v>
      </c>
      <c r="O65" s="656" t="s">
        <v>154</v>
      </c>
      <c r="P65" s="656" t="s">
        <v>154</v>
      </c>
      <c r="Q65" s="656">
        <f>SUM(J65:P65)</f>
        <v>229</v>
      </c>
      <c r="R65" s="610">
        <f>2*Q65</f>
        <v>458</v>
      </c>
      <c r="S65" s="690">
        <f>R65+(2*71)</f>
        <v>600</v>
      </c>
      <c r="T65" s="644">
        <v>0</v>
      </c>
      <c r="U65" s="624">
        <v>93</v>
      </c>
      <c r="V65" s="648" t="s">
        <v>154</v>
      </c>
      <c r="W65" s="648" t="s">
        <v>154</v>
      </c>
      <c r="X65" s="649">
        <f>SUM(T65:W65)</f>
        <v>93</v>
      </c>
      <c r="Y65" s="524">
        <f>2*X65</f>
        <v>186</v>
      </c>
      <c r="Z65" s="525">
        <f>Y65+(23)</f>
        <v>209</v>
      </c>
      <c r="AA65" s="624">
        <f>Z65-H65</f>
        <v>24.079999999999984</v>
      </c>
      <c r="AB65" s="624">
        <f>Z65-I65</f>
        <v>107.29399999999998</v>
      </c>
      <c r="AC65" s="607">
        <f>493-15</f>
        <v>478</v>
      </c>
      <c r="AD65" s="624">
        <f>(33.89)+(AC65*0.2095)</f>
        <v>134.03100000000001</v>
      </c>
      <c r="AE65" s="624">
        <f>X65-U65+AD65</f>
        <v>134.03100000000001</v>
      </c>
      <c r="AF65" s="368">
        <f>2*AE65</f>
        <v>268.06200000000001</v>
      </c>
      <c r="AG65" s="323">
        <f>AF65+(23)</f>
        <v>291.06200000000001</v>
      </c>
      <c r="AH65" s="623">
        <f>AG65-I65</f>
        <v>189.35599999999999</v>
      </c>
      <c r="AI65" s="1263" t="s">
        <v>1001</v>
      </c>
      <c r="AJ65" s="1262">
        <v>90</v>
      </c>
      <c r="AK65" s="673">
        <f>(2*AJ65)+(2*71)+(2*45)</f>
        <v>412</v>
      </c>
      <c r="AL65" s="1262">
        <f>S65-AK65</f>
        <v>188</v>
      </c>
      <c r="AM65" s="623">
        <f>15+15</f>
        <v>30</v>
      </c>
      <c r="AN65" s="273">
        <f>(89)+(23)+AM65</f>
        <v>142</v>
      </c>
      <c r="AO65" s="274">
        <f>Z65-AN65</f>
        <v>67</v>
      </c>
      <c r="AP65" s="1062"/>
      <c r="AQ65" s="342" t="s">
        <v>31</v>
      </c>
      <c r="AR65" s="276">
        <f>H65</f>
        <v>184.92000000000002</v>
      </c>
      <c r="AS65" s="261">
        <f>Z65</f>
        <v>209</v>
      </c>
      <c r="AT65" s="261">
        <f>AN65</f>
        <v>142</v>
      </c>
      <c r="AU65" s="804">
        <f>S65-G65</f>
        <v>-255.59999999999991</v>
      </c>
      <c r="AV65" s="343">
        <f>S65-AK65</f>
        <v>188</v>
      </c>
      <c r="AY65" s="382"/>
      <c r="AZ65" s="383"/>
      <c r="BB65" s="393"/>
      <c r="BC65" s="384"/>
      <c r="BD65" s="1153">
        <f>B65</f>
        <v>21</v>
      </c>
      <c r="BE65" s="975"/>
      <c r="BF65" s="372"/>
      <c r="BH65" s="135"/>
    </row>
    <row r="66" spans="1:60" s="180" customFormat="1">
      <c r="A66" s="896">
        <f>A65+1</f>
        <v>23</v>
      </c>
      <c r="B66" s="889">
        <f>B65+1</f>
        <v>22</v>
      </c>
      <c r="C66" s="342" t="s">
        <v>1025</v>
      </c>
      <c r="D66" s="607">
        <v>395</v>
      </c>
      <c r="E66" s="862">
        <f>2*D66</f>
        <v>790</v>
      </c>
      <c r="F66" s="862">
        <f>2*376</f>
        <v>752</v>
      </c>
      <c r="G66" s="656">
        <f>F66*1.15</f>
        <v>864.8</v>
      </c>
      <c r="H66" s="274">
        <f>(E66*0.23)</f>
        <v>181.70000000000002</v>
      </c>
      <c r="I66" s="273">
        <f>0.5*(H66*1.1)</f>
        <v>99.935000000000016</v>
      </c>
      <c r="J66" s="672" t="s">
        <v>154</v>
      </c>
      <c r="K66" s="656" t="s">
        <v>154</v>
      </c>
      <c r="L66" s="656">
        <v>236</v>
      </c>
      <c r="M66" s="656" t="s">
        <v>154</v>
      </c>
      <c r="N66" s="656" t="s">
        <v>154</v>
      </c>
      <c r="O66" s="656" t="s">
        <v>154</v>
      </c>
      <c r="P66" s="656" t="s">
        <v>154</v>
      </c>
      <c r="Q66" s="656">
        <f>SUM(J66:P66)</f>
        <v>236</v>
      </c>
      <c r="R66" s="746">
        <f>2*Q66</f>
        <v>472</v>
      </c>
      <c r="S66" s="750">
        <f>R66+(2*71)</f>
        <v>614</v>
      </c>
      <c r="T66" s="644">
        <v>0</v>
      </c>
      <c r="U66" s="624">
        <v>93</v>
      </c>
      <c r="V66" s="648" t="s">
        <v>154</v>
      </c>
      <c r="W66" s="648" t="s">
        <v>154</v>
      </c>
      <c r="X66" s="624">
        <f>SUM(T66:W66)</f>
        <v>93</v>
      </c>
      <c r="Y66" s="524">
        <f>2*X66</f>
        <v>186</v>
      </c>
      <c r="Z66" s="525">
        <f>Y66+(23)</f>
        <v>209</v>
      </c>
      <c r="AA66" s="624">
        <f>Z66-H66</f>
        <v>27.299999999999983</v>
      </c>
      <c r="AB66" s="624">
        <f>Z66-I66</f>
        <v>109.06499999999998</v>
      </c>
      <c r="AC66" s="607">
        <v>481</v>
      </c>
      <c r="AD66" s="624">
        <f>(33.89)+(AC66*0.2095)</f>
        <v>134.65949999999998</v>
      </c>
      <c r="AE66" s="624">
        <f>X66-U66+AD66</f>
        <v>134.65949999999998</v>
      </c>
      <c r="AF66" s="322">
        <f>2*AE66</f>
        <v>269.31899999999996</v>
      </c>
      <c r="AG66" s="323">
        <f>AF66+(23)</f>
        <v>292.31899999999996</v>
      </c>
      <c r="AH66" s="623">
        <f>AG66-I66</f>
        <v>192.38399999999996</v>
      </c>
      <c r="AI66" s="1263" t="s">
        <v>1001</v>
      </c>
      <c r="AJ66" s="1262">
        <v>90</v>
      </c>
      <c r="AK66" s="1262">
        <f>2*AJ66+(2*71)+(2*45)</f>
        <v>412</v>
      </c>
      <c r="AL66" s="1262">
        <f>S66-AK66</f>
        <v>202</v>
      </c>
      <c r="AM66" s="623">
        <v>15</v>
      </c>
      <c r="AN66" s="273">
        <f>(89)+(23)+AM66</f>
        <v>127</v>
      </c>
      <c r="AO66" s="274">
        <f>Z66-AN66</f>
        <v>82</v>
      </c>
      <c r="AP66" s="1062"/>
      <c r="AQ66" s="342" t="s">
        <v>753</v>
      </c>
      <c r="AR66" s="276">
        <f>H66</f>
        <v>181.70000000000002</v>
      </c>
      <c r="AS66" s="261">
        <f>Z66</f>
        <v>209</v>
      </c>
      <c r="AT66" s="261">
        <f>AN66</f>
        <v>127</v>
      </c>
      <c r="AU66" s="804">
        <f>S66-G66</f>
        <v>-250.79999999999995</v>
      </c>
      <c r="AV66" s="343">
        <f>S66-AK66</f>
        <v>202</v>
      </c>
      <c r="AY66" s="382"/>
      <c r="AZ66" s="383"/>
      <c r="BA66" s="393"/>
      <c r="BB66" s="395"/>
      <c r="BC66" s="384"/>
      <c r="BD66" s="1153">
        <f t="shared" ref="BD66:BD69" si="36">B66</f>
        <v>22</v>
      </c>
      <c r="BE66" s="971"/>
      <c r="BF66" s="380"/>
      <c r="BH66" s="135"/>
    </row>
    <row r="67" spans="1:60" s="180" customFormat="1">
      <c r="A67" s="896">
        <f t="shared" ref="A67:A69" si="37">A66+1</f>
        <v>24</v>
      </c>
      <c r="B67" s="889">
        <f>B66+1</f>
        <v>23</v>
      </c>
      <c r="C67" s="342" t="s">
        <v>1026</v>
      </c>
      <c r="D67" s="607">
        <v>403</v>
      </c>
      <c r="E67" s="739">
        <f>2*D67</f>
        <v>806</v>
      </c>
      <c r="F67" s="739">
        <f>(2*384)</f>
        <v>768</v>
      </c>
      <c r="G67" s="656">
        <f>F67*1.15</f>
        <v>883.19999999999993</v>
      </c>
      <c r="H67" s="274">
        <f>(E67*0.23)</f>
        <v>185.38</v>
      </c>
      <c r="I67" s="273">
        <f>0.5*(H67*1.1)</f>
        <v>101.959</v>
      </c>
      <c r="J67" s="672" t="s">
        <v>154</v>
      </c>
      <c r="K67" s="656" t="s">
        <v>154</v>
      </c>
      <c r="L67" s="656">
        <v>188</v>
      </c>
      <c r="M67" s="656">
        <v>15</v>
      </c>
      <c r="N67" s="656">
        <v>81</v>
      </c>
      <c r="O67" s="656" t="s">
        <v>154</v>
      </c>
      <c r="P67" s="656" t="s">
        <v>154</v>
      </c>
      <c r="Q67" s="1237">
        <f>SUM(J67:P67)</f>
        <v>284</v>
      </c>
      <c r="R67" s="746">
        <f>2*Q67</f>
        <v>568</v>
      </c>
      <c r="S67" s="750">
        <f>R67+(2*71)</f>
        <v>710</v>
      </c>
      <c r="T67" s="644">
        <v>0</v>
      </c>
      <c r="U67" s="624">
        <v>93</v>
      </c>
      <c r="V67" s="639">
        <v>1.75</v>
      </c>
      <c r="W67" s="648" t="s">
        <v>154</v>
      </c>
      <c r="X67" s="624">
        <f>SUM(T67:W67)</f>
        <v>94.75</v>
      </c>
      <c r="Y67" s="524">
        <f>2*X67</f>
        <v>189.5</v>
      </c>
      <c r="Z67" s="525">
        <f>Y67+(23)</f>
        <v>212.5</v>
      </c>
      <c r="AA67" s="624">
        <f>Z67-H67</f>
        <v>27.120000000000005</v>
      </c>
      <c r="AB67" s="624">
        <f>Z67-I67</f>
        <v>110.541</v>
      </c>
      <c r="AC67" s="613">
        <v>466</v>
      </c>
      <c r="AD67" s="624">
        <f>(33.89)+(AC67*0.2095)</f>
        <v>131.517</v>
      </c>
      <c r="AE67" s="624">
        <f>X67-U67+AD67</f>
        <v>133.267</v>
      </c>
      <c r="AF67" s="322">
        <f>2*AE67</f>
        <v>266.53399999999999</v>
      </c>
      <c r="AG67" s="323">
        <f>AF67+(23)</f>
        <v>289.53399999999999</v>
      </c>
      <c r="AH67" s="623">
        <f>AG67-I67</f>
        <v>187.57499999999999</v>
      </c>
      <c r="AI67" s="1263" t="s">
        <v>1019</v>
      </c>
      <c r="AJ67" s="1352">
        <v>88</v>
      </c>
      <c r="AK67" s="1262">
        <f>2*AJ67+(2*71)+(2*45)</f>
        <v>408</v>
      </c>
      <c r="AL67" s="1262">
        <f>S67-AK67</f>
        <v>302</v>
      </c>
      <c r="AM67" s="707" t="s">
        <v>13</v>
      </c>
      <c r="AN67" s="273">
        <f>(149)+(23)</f>
        <v>172</v>
      </c>
      <c r="AO67" s="274">
        <f>Z67-AN67</f>
        <v>40.5</v>
      </c>
      <c r="AP67" s="1062"/>
      <c r="AQ67" s="342" t="s">
        <v>754</v>
      </c>
      <c r="AR67" s="276">
        <f>H67</f>
        <v>185.38</v>
      </c>
      <c r="AS67" s="261">
        <f>Z67</f>
        <v>212.5</v>
      </c>
      <c r="AT67" s="261">
        <f>AN67</f>
        <v>172</v>
      </c>
      <c r="AU67" s="804">
        <f>S67-G67</f>
        <v>-173.19999999999993</v>
      </c>
      <c r="AV67" s="343">
        <f>S67-AK67</f>
        <v>302</v>
      </c>
      <c r="AY67" s="382"/>
      <c r="AZ67" s="383"/>
      <c r="BA67" s="393"/>
      <c r="BB67" s="395"/>
      <c r="BC67" s="384"/>
      <c r="BD67" s="1153">
        <f t="shared" si="36"/>
        <v>23</v>
      </c>
      <c r="BE67" s="379"/>
      <c r="BF67" s="380"/>
    </row>
    <row r="68" spans="1:60" s="180" customFormat="1">
      <c r="A68" s="896">
        <f t="shared" si="37"/>
        <v>25</v>
      </c>
      <c r="B68" s="889">
        <f>B67+1</f>
        <v>24</v>
      </c>
      <c r="C68" s="342" t="s">
        <v>1027</v>
      </c>
      <c r="D68" s="607">
        <v>409</v>
      </c>
      <c r="E68" s="739">
        <f>2*D68</f>
        <v>818</v>
      </c>
      <c r="F68" s="739">
        <f>(2*390)</f>
        <v>780</v>
      </c>
      <c r="G68" s="656">
        <f>F68*1.15</f>
        <v>896.99999999999989</v>
      </c>
      <c r="H68" s="274">
        <f>(E68*0.23)</f>
        <v>188.14000000000001</v>
      </c>
      <c r="I68" s="273">
        <f>0.5*(H68*1.1)</f>
        <v>103.47700000000002</v>
      </c>
      <c r="J68" s="672" t="s">
        <v>154</v>
      </c>
      <c r="K68" s="656" t="s">
        <v>154</v>
      </c>
      <c r="L68" s="656">
        <v>248</v>
      </c>
      <c r="M68" s="656" t="s">
        <v>154</v>
      </c>
      <c r="N68" s="656" t="s">
        <v>154</v>
      </c>
      <c r="O68" s="656" t="s">
        <v>154</v>
      </c>
      <c r="P68" s="656" t="s">
        <v>154</v>
      </c>
      <c r="Q68" s="656">
        <f>SUM(J68:P68)</f>
        <v>248</v>
      </c>
      <c r="R68" s="746">
        <f>2*Q68</f>
        <v>496</v>
      </c>
      <c r="S68" s="750">
        <f>R68+(2*71)</f>
        <v>638</v>
      </c>
      <c r="T68" s="644">
        <v>0</v>
      </c>
      <c r="U68" s="624">
        <v>93</v>
      </c>
      <c r="V68" s="648" t="s">
        <v>154</v>
      </c>
      <c r="W68" s="648" t="s">
        <v>154</v>
      </c>
      <c r="X68" s="624">
        <f>SUM(T68:W68)</f>
        <v>93</v>
      </c>
      <c r="Y68" s="524">
        <f>2*X68</f>
        <v>186</v>
      </c>
      <c r="Z68" s="525">
        <f>Y68+(23)</f>
        <v>209</v>
      </c>
      <c r="AA68" s="624">
        <f>Z68-H68</f>
        <v>20.859999999999985</v>
      </c>
      <c r="AB68" s="624">
        <f>Z68-I68</f>
        <v>105.52299999999998</v>
      </c>
      <c r="AC68" s="613">
        <v>493</v>
      </c>
      <c r="AD68" s="624">
        <f>(33.89)+(AC68*0.2095)</f>
        <v>137.17349999999999</v>
      </c>
      <c r="AE68" s="624">
        <f>X68-U68+AD68</f>
        <v>137.17349999999999</v>
      </c>
      <c r="AF68" s="322">
        <f>2*AE68</f>
        <v>274.34699999999998</v>
      </c>
      <c r="AG68" s="323">
        <f>AF68+(23)</f>
        <v>297.34699999999998</v>
      </c>
      <c r="AH68" s="623">
        <f>AG68-I68</f>
        <v>193.86999999999995</v>
      </c>
      <c r="AI68" s="1263" t="s">
        <v>1001</v>
      </c>
      <c r="AJ68" s="1352">
        <v>90</v>
      </c>
      <c r="AK68" s="1262">
        <f>2*AJ68+(2*71)+(2*45)</f>
        <v>412</v>
      </c>
      <c r="AL68" s="1262">
        <f>S68-AK68</f>
        <v>226</v>
      </c>
      <c r="AM68" s="623">
        <v>15</v>
      </c>
      <c r="AN68" s="273">
        <f>(89)+(23)+AM68</f>
        <v>127</v>
      </c>
      <c r="AO68" s="274">
        <f>Z68-AN68</f>
        <v>82</v>
      </c>
      <c r="AP68" s="1062"/>
      <c r="AQ68" s="342" t="s">
        <v>16</v>
      </c>
      <c r="AR68" s="276">
        <f>H68</f>
        <v>188.14000000000001</v>
      </c>
      <c r="AS68" s="261">
        <f>Z68</f>
        <v>209</v>
      </c>
      <c r="AT68" s="261">
        <f>AN68</f>
        <v>127</v>
      </c>
      <c r="AU68" s="804">
        <f>S68-G68</f>
        <v>-258.99999999999989</v>
      </c>
      <c r="AV68" s="343">
        <f>S68-AK68</f>
        <v>226</v>
      </c>
      <c r="BC68" s="378"/>
      <c r="BD68" s="1153">
        <f t="shared" si="36"/>
        <v>24</v>
      </c>
      <c r="BE68" s="971"/>
      <c r="BF68" s="380"/>
      <c r="BH68" s="135"/>
    </row>
    <row r="69" spans="1:60">
      <c r="A69" s="896">
        <f t="shared" si="37"/>
        <v>26</v>
      </c>
      <c r="B69" s="889">
        <f>B68+1</f>
        <v>25</v>
      </c>
      <c r="C69" s="342" t="s">
        <v>695</v>
      </c>
      <c r="D69" s="607">
        <v>460</v>
      </c>
      <c r="E69" s="1237">
        <f>2*D69</f>
        <v>920</v>
      </c>
      <c r="F69" s="739">
        <f>(2*422)</f>
        <v>844</v>
      </c>
      <c r="G69" s="656">
        <f>F69*1.15</f>
        <v>970.59999999999991</v>
      </c>
      <c r="H69" s="274">
        <f>(E69*0.23)</f>
        <v>211.60000000000002</v>
      </c>
      <c r="I69" s="273">
        <f>0.5*(H69*1.1)</f>
        <v>116.38000000000002</v>
      </c>
      <c r="J69" s="672" t="s">
        <v>154</v>
      </c>
      <c r="K69" s="656" t="s">
        <v>154</v>
      </c>
      <c r="L69" s="656">
        <f>188-41</f>
        <v>147</v>
      </c>
      <c r="M69" s="656">
        <v>30</v>
      </c>
      <c r="N69" s="656">
        <v>170</v>
      </c>
      <c r="O69" s="656" t="s">
        <v>154</v>
      </c>
      <c r="P69" s="656" t="s">
        <v>154</v>
      </c>
      <c r="Q69" s="1237">
        <f>SUM(J69:P69)</f>
        <v>347</v>
      </c>
      <c r="R69" s="746">
        <f>2*Q69</f>
        <v>694</v>
      </c>
      <c r="S69" s="750">
        <f>R69+(2*71)</f>
        <v>836</v>
      </c>
      <c r="T69" s="644">
        <v>0</v>
      </c>
      <c r="U69" s="624">
        <v>93</v>
      </c>
      <c r="V69" s="639">
        <v>35.65</v>
      </c>
      <c r="W69" s="648" t="s">
        <v>154</v>
      </c>
      <c r="X69" s="624">
        <f>SUM(T69:W69)</f>
        <v>128.65</v>
      </c>
      <c r="Y69" s="524">
        <f>2*X69</f>
        <v>257.3</v>
      </c>
      <c r="Z69" s="525">
        <f>Y69+(23)</f>
        <v>280.3</v>
      </c>
      <c r="AA69" s="655">
        <f>Z69-H69</f>
        <v>68.699999999999989</v>
      </c>
      <c r="AB69" s="653">
        <f>Z69-I69</f>
        <v>163.92</v>
      </c>
      <c r="AC69" s="656">
        <f>466-48</f>
        <v>418</v>
      </c>
      <c r="AD69" s="624">
        <f>(33.89)+(AC69*0.2095)</f>
        <v>121.461</v>
      </c>
      <c r="AE69" s="624">
        <f>X69-U69+AD69</f>
        <v>157.11099999999999</v>
      </c>
      <c r="AF69" s="322">
        <f>2*AE69</f>
        <v>314.22199999999998</v>
      </c>
      <c r="AG69" s="323">
        <f>AF69+(23)</f>
        <v>337.22199999999998</v>
      </c>
      <c r="AH69" s="623">
        <f>AG69-I69</f>
        <v>220.84199999999996</v>
      </c>
      <c r="AI69" s="1263" t="s">
        <v>1040</v>
      </c>
      <c r="AJ69" s="1352">
        <v>84</v>
      </c>
      <c r="AK69" s="1262">
        <f>2*AJ69+(2*71)+(2*45)</f>
        <v>400</v>
      </c>
      <c r="AL69" s="1262">
        <f>S69-AK69</f>
        <v>436</v>
      </c>
      <c r="AM69" s="707" t="s">
        <v>13</v>
      </c>
      <c r="AN69" s="273">
        <f>(194)+(23)</f>
        <v>217</v>
      </c>
      <c r="AO69" s="274">
        <f>Z69-AN69</f>
        <v>63.300000000000011</v>
      </c>
      <c r="AP69" s="1055"/>
      <c r="AQ69" s="342" t="s">
        <v>33</v>
      </c>
      <c r="AR69" s="276">
        <f>H69</f>
        <v>211.60000000000002</v>
      </c>
      <c r="AS69" s="261">
        <f>Z69</f>
        <v>280.3</v>
      </c>
      <c r="AT69" s="261">
        <f>AN69</f>
        <v>217</v>
      </c>
      <c r="AU69" s="804">
        <f>S69-G69</f>
        <v>-134.59999999999991</v>
      </c>
      <c r="AV69" s="343">
        <f>S69-AK69</f>
        <v>436</v>
      </c>
      <c r="BD69" s="1153">
        <f t="shared" si="36"/>
        <v>25</v>
      </c>
    </row>
    <row r="70" spans="1:60" ht="15" customHeight="1">
      <c r="C70" s="1916" t="s">
        <v>1021</v>
      </c>
      <c r="D70" s="1918" t="s">
        <v>1022</v>
      </c>
      <c r="E70" s="1865"/>
      <c r="F70" s="1920" t="s">
        <v>1023</v>
      </c>
      <c r="G70" s="1951" t="s">
        <v>1024</v>
      </c>
      <c r="H70" s="1952" t="s">
        <v>345</v>
      </c>
      <c r="I70" s="1947"/>
      <c r="J70" s="1949"/>
      <c r="K70" s="1941" t="s">
        <v>151</v>
      </c>
      <c r="L70" s="1999" t="s">
        <v>1044</v>
      </c>
      <c r="M70" s="1884" t="s">
        <v>153</v>
      </c>
      <c r="N70" s="1931" t="s">
        <v>1037</v>
      </c>
      <c r="O70" s="1037"/>
      <c r="P70" s="53"/>
      <c r="Q70" s="53"/>
      <c r="R70" s="113"/>
      <c r="S70" s="1954" t="s">
        <v>1048</v>
      </c>
      <c r="T70" s="63"/>
      <c r="U70" s="1958" t="s">
        <v>999</v>
      </c>
      <c r="V70" s="1931" t="s">
        <v>1037</v>
      </c>
      <c r="W70" s="196"/>
      <c r="X70" s="63"/>
      <c r="Y70" s="258"/>
      <c r="Z70" s="1939" t="s">
        <v>1038</v>
      </c>
      <c r="AA70" s="336"/>
      <c r="AB70" s="1942" t="s">
        <v>349</v>
      </c>
      <c r="AC70" s="1935" t="s">
        <v>1039</v>
      </c>
      <c r="AD70" s="1936" t="s">
        <v>350</v>
      </c>
      <c r="AE70" s="31"/>
      <c r="AF70" s="258"/>
      <c r="AG70" s="1939" t="s">
        <v>1038</v>
      </c>
      <c r="AH70" s="1960"/>
      <c r="AI70" s="1103"/>
      <c r="AJ70" s="1963" t="s">
        <v>1149</v>
      </c>
      <c r="AK70" s="1956"/>
      <c r="AL70" s="131"/>
      <c r="AM70" s="131"/>
      <c r="AN70" s="1908" t="s">
        <v>1041</v>
      </c>
      <c r="AO70" s="68"/>
      <c r="AP70" s="1053"/>
    </row>
    <row r="71" spans="1:60" ht="15" customHeight="1">
      <c r="C71" s="1916"/>
      <c r="D71" s="1919"/>
      <c r="E71" s="1865"/>
      <c r="F71" s="1921"/>
      <c r="G71" s="1737"/>
      <c r="H71" s="1795"/>
      <c r="I71" s="1948"/>
      <c r="J71" s="1950"/>
      <c r="K71" s="1730"/>
      <c r="L71" s="1999"/>
      <c r="M71" s="1928"/>
      <c r="N71" s="1938"/>
      <c r="O71" s="172"/>
      <c r="P71" s="69"/>
      <c r="Q71" s="69"/>
      <c r="R71" s="262"/>
      <c r="S71" s="1955"/>
      <c r="T71" s="65"/>
      <c r="U71" s="1959"/>
      <c r="V71" s="1938"/>
      <c r="W71" s="419"/>
      <c r="X71" s="65"/>
      <c r="Y71" s="335"/>
      <c r="Z71" s="1940"/>
      <c r="AA71" s="1953"/>
      <c r="AB71" s="1943"/>
      <c r="AC71" s="1693"/>
      <c r="AD71" s="1937"/>
      <c r="AE71" s="140"/>
      <c r="AF71" s="247"/>
      <c r="AG71" s="1940"/>
      <c r="AH71" s="1961"/>
      <c r="AI71" s="1104"/>
      <c r="AJ71" s="1964"/>
      <c r="AK71" s="1957"/>
      <c r="AL71" s="128"/>
      <c r="AM71" s="128"/>
      <c r="AN71" s="1909"/>
      <c r="AO71" s="73"/>
      <c r="AP71" s="1053"/>
    </row>
    <row r="72" spans="1:60">
      <c r="C72" s="1916"/>
      <c r="D72" s="1919"/>
      <c r="E72" s="1865"/>
      <c r="F72" s="1921"/>
      <c r="G72" s="1737"/>
      <c r="H72" s="1795"/>
      <c r="I72" s="1948"/>
      <c r="J72" s="1950"/>
      <c r="K72" s="1730"/>
      <c r="L72" s="1999"/>
      <c r="M72" s="1928"/>
      <c r="N72" s="1938"/>
      <c r="O72" s="172"/>
      <c r="P72" s="69"/>
      <c r="Q72" s="69"/>
      <c r="R72" s="262"/>
      <c r="S72" s="1955"/>
      <c r="T72" s="65"/>
      <c r="U72" s="1959"/>
      <c r="V72" s="1938"/>
      <c r="W72" s="419"/>
      <c r="X72" s="65"/>
      <c r="Y72" s="335"/>
      <c r="Z72" s="1940"/>
      <c r="AA72" s="1953"/>
      <c r="AB72" s="1943"/>
      <c r="AC72" s="1693"/>
      <c r="AD72" s="1937"/>
      <c r="AE72" s="140"/>
      <c r="AF72" s="247"/>
      <c r="AG72" s="1940"/>
      <c r="AH72" s="1961"/>
      <c r="AI72" s="1104"/>
      <c r="AJ72" s="1964"/>
      <c r="AK72" s="1957"/>
      <c r="AL72" s="128"/>
      <c r="AM72" s="128"/>
      <c r="AN72" s="1909"/>
      <c r="AO72" s="73"/>
      <c r="AP72" s="1053"/>
    </row>
    <row r="73" spans="1:60">
      <c r="C73" s="1916"/>
      <c r="D73" s="1919"/>
      <c r="E73" s="1865"/>
      <c r="F73" s="1921"/>
      <c r="G73" s="1737"/>
      <c r="H73" s="1795"/>
      <c r="I73" s="1948"/>
      <c r="J73" s="1950"/>
      <c r="K73" s="1730"/>
      <c r="L73" s="1999"/>
      <c r="M73" s="1928"/>
      <c r="N73" s="1938"/>
      <c r="O73" s="172"/>
      <c r="P73" s="69"/>
      <c r="Q73" s="69"/>
      <c r="R73" s="262"/>
      <c r="S73" s="1955"/>
      <c r="T73" s="65"/>
      <c r="U73" s="1959"/>
      <c r="V73" s="1938"/>
      <c r="W73" s="419"/>
      <c r="X73" s="65"/>
      <c r="Y73" s="335"/>
      <c r="Z73" s="1940"/>
      <c r="AA73" s="1953"/>
      <c r="AB73" s="1943"/>
      <c r="AC73" s="1693"/>
      <c r="AD73" s="1937"/>
      <c r="AE73" s="140"/>
      <c r="AF73" s="247"/>
      <c r="AG73" s="1940"/>
      <c r="AH73" s="1961"/>
      <c r="AI73" s="1104"/>
      <c r="AJ73" s="1964"/>
      <c r="AK73" s="1957"/>
      <c r="AL73" s="128"/>
      <c r="AM73" s="128"/>
      <c r="AN73" s="1909"/>
      <c r="AO73" s="73"/>
      <c r="AP73" s="1053"/>
    </row>
    <row r="74" spans="1:60">
      <c r="C74" s="1916"/>
      <c r="D74" s="1919"/>
      <c r="E74" s="1865"/>
      <c r="F74" s="1921"/>
      <c r="G74" s="1737"/>
      <c r="H74" s="1795"/>
      <c r="I74" s="1948"/>
      <c r="J74" s="1950"/>
      <c r="K74" s="1730"/>
      <c r="L74" s="1999"/>
      <c r="M74" s="1928"/>
      <c r="N74" s="1938"/>
      <c r="O74" s="172"/>
      <c r="P74" s="69"/>
      <c r="Q74" s="69"/>
      <c r="R74" s="262"/>
      <c r="S74" s="1955"/>
      <c r="T74" s="65"/>
      <c r="U74" s="1959"/>
      <c r="V74" s="1938"/>
      <c r="W74" s="419"/>
      <c r="X74" s="65"/>
      <c r="Y74" s="335"/>
      <c r="Z74" s="1940"/>
      <c r="AA74" s="1953"/>
      <c r="AB74" s="1943"/>
      <c r="AC74" s="1693"/>
      <c r="AD74" s="1937"/>
      <c r="AE74" s="140"/>
      <c r="AF74" s="247"/>
      <c r="AG74" s="1940"/>
      <c r="AH74" s="1962"/>
      <c r="AI74" s="1104"/>
      <c r="AJ74" s="1964"/>
      <c r="AK74" s="1957"/>
      <c r="AL74" s="128"/>
      <c r="AM74" s="128"/>
      <c r="AN74" s="1909"/>
      <c r="AO74" s="73"/>
      <c r="AP74" s="1053"/>
    </row>
    <row r="75" spans="1:60">
      <c r="C75" s="1916"/>
      <c r="D75" s="1919"/>
      <c r="E75" s="1865"/>
      <c r="F75" s="1921"/>
      <c r="G75" s="1737"/>
      <c r="H75" s="1795"/>
      <c r="I75" s="1948"/>
      <c r="J75" s="1950"/>
      <c r="K75" s="1730"/>
      <c r="L75" s="1999"/>
      <c r="M75" s="1928"/>
      <c r="N75" s="1938"/>
      <c r="O75" s="172"/>
      <c r="P75" s="69"/>
      <c r="Q75" s="69"/>
      <c r="R75" s="262"/>
      <c r="S75" s="1955"/>
      <c r="T75" s="65"/>
      <c r="U75" s="1959"/>
      <c r="V75" s="1938"/>
      <c r="W75" s="419"/>
      <c r="X75" s="65"/>
      <c r="Y75" s="335"/>
      <c r="Z75" s="1940"/>
      <c r="AA75" s="1953"/>
      <c r="AB75" s="1943"/>
      <c r="AC75" s="1693"/>
      <c r="AD75" s="1937"/>
      <c r="AE75" s="140"/>
      <c r="AF75" s="247"/>
      <c r="AG75" s="1940"/>
      <c r="AH75" s="1962"/>
      <c r="AI75" s="1104"/>
      <c r="AJ75" s="1965"/>
      <c r="AK75" s="1957"/>
      <c r="AL75" s="128"/>
      <c r="AM75" s="128"/>
      <c r="AN75" s="1909"/>
      <c r="AO75" s="73"/>
      <c r="AP75" s="1053"/>
      <c r="AV75" s="126" t="s">
        <v>105</v>
      </c>
    </row>
    <row r="76" spans="1:60">
      <c r="C76" s="1916"/>
      <c r="D76" s="1919"/>
      <c r="E76" s="1865"/>
      <c r="F76" s="1921"/>
      <c r="G76" s="1737"/>
      <c r="H76" s="1795"/>
      <c r="I76" s="1948"/>
      <c r="J76" s="1950"/>
      <c r="K76" s="1730"/>
      <c r="L76" s="1999"/>
      <c r="M76" s="1928"/>
      <c r="N76" s="1938"/>
      <c r="O76" s="172"/>
      <c r="P76" s="69"/>
      <c r="Q76" s="69"/>
      <c r="R76" s="262"/>
      <c r="S76" s="1955"/>
      <c r="T76" s="65"/>
      <c r="U76" s="1959"/>
      <c r="V76" s="1938"/>
      <c r="W76" s="419"/>
      <c r="X76" s="65"/>
      <c r="Y76" s="335"/>
      <c r="Z76" s="1940"/>
      <c r="AA76" s="1953"/>
      <c r="AB76" s="1943"/>
      <c r="AC76" s="1693"/>
      <c r="AD76" s="1937"/>
      <c r="AE76" s="140"/>
      <c r="AF76" s="247"/>
      <c r="AG76" s="1940"/>
      <c r="AH76" s="1962"/>
      <c r="AI76" s="1104"/>
      <c r="AJ76" s="1965"/>
      <c r="AK76" s="1957"/>
      <c r="AL76" s="128"/>
      <c r="AM76" s="128"/>
      <c r="AN76" s="1909"/>
      <c r="AO76" s="73"/>
      <c r="AP76" s="1053"/>
      <c r="AV76" s="510"/>
    </row>
    <row r="77" spans="1:60">
      <c r="C77" s="1916"/>
      <c r="D77" s="1919"/>
      <c r="E77" s="1865"/>
      <c r="F77" s="1921"/>
      <c r="G77" s="1737"/>
      <c r="H77" s="1795"/>
      <c r="I77" s="1948"/>
      <c r="J77" s="1950"/>
      <c r="K77" s="1730"/>
      <c r="L77" s="1999"/>
      <c r="M77" s="1928"/>
      <c r="N77" s="1938"/>
      <c r="O77" s="172"/>
      <c r="P77" s="69"/>
      <c r="Q77" s="69"/>
      <c r="R77" s="262"/>
      <c r="S77" s="1955"/>
      <c r="T77" s="65"/>
      <c r="U77" s="1959"/>
      <c r="V77" s="1938"/>
      <c r="W77" s="419"/>
      <c r="X77" s="65"/>
      <c r="Y77" s="335"/>
      <c r="Z77" s="1940"/>
      <c r="AA77" s="1953"/>
      <c r="AB77" s="1943"/>
      <c r="AC77" s="1693"/>
      <c r="AD77" s="1937"/>
      <c r="AE77" s="140"/>
      <c r="AF77" s="247"/>
      <c r="AG77" s="1940"/>
      <c r="AH77" s="1962"/>
      <c r="AI77" s="1104"/>
      <c r="AJ77" s="1965"/>
      <c r="AK77" s="1957"/>
      <c r="AL77" s="128"/>
      <c r="AM77" s="128"/>
      <c r="AN77" s="1909"/>
      <c r="AO77" s="73"/>
      <c r="AP77" s="1053"/>
    </row>
    <row r="78" spans="1:60">
      <c r="C78" s="1916"/>
      <c r="D78" s="1919"/>
      <c r="E78" s="1865"/>
      <c r="F78" s="1921"/>
      <c r="G78" s="1737"/>
      <c r="H78" s="1795"/>
      <c r="I78" s="1948"/>
      <c r="J78" s="1950"/>
      <c r="K78" s="1730"/>
      <c r="L78" s="1999"/>
      <c r="M78" s="1928"/>
      <c r="N78" s="1938"/>
      <c r="O78" s="172"/>
      <c r="P78" s="69"/>
      <c r="Q78" s="69"/>
      <c r="R78" s="262"/>
      <c r="S78" s="1955"/>
      <c r="T78" s="65"/>
      <c r="U78" s="1959"/>
      <c r="V78" s="1938"/>
      <c r="W78" s="419"/>
      <c r="X78" s="65"/>
      <c r="Y78" s="335"/>
      <c r="Z78" s="1940"/>
      <c r="AA78" s="1953"/>
      <c r="AB78" s="1943"/>
      <c r="AC78" s="1693"/>
      <c r="AD78" s="1937"/>
      <c r="AE78" s="140"/>
      <c r="AF78" s="247"/>
      <c r="AG78" s="1940"/>
      <c r="AH78" s="1962"/>
      <c r="AI78" s="1104"/>
      <c r="AJ78" s="1965"/>
      <c r="AK78" s="1957"/>
      <c r="AL78" s="128"/>
      <c r="AM78" s="128"/>
      <c r="AN78" s="1909"/>
      <c r="AO78" s="73"/>
      <c r="AP78" s="1053"/>
    </row>
    <row r="79" spans="1:60" ht="15" customHeight="1">
      <c r="C79" s="1917"/>
      <c r="D79" s="1919"/>
      <c r="E79" s="1865"/>
      <c r="F79" s="1921"/>
      <c r="G79" s="1737"/>
      <c r="H79" s="1795"/>
      <c r="I79" s="1948"/>
      <c r="J79" s="1950"/>
      <c r="K79" s="1730"/>
      <c r="L79" s="2000"/>
      <c r="M79" s="1737"/>
      <c r="N79" s="1938"/>
      <c r="O79" s="172"/>
      <c r="P79" s="69"/>
      <c r="Q79" s="69"/>
      <c r="R79" s="262"/>
      <c r="S79" s="1955"/>
      <c r="T79" s="65"/>
      <c r="U79" s="1959"/>
      <c r="V79" s="1938"/>
      <c r="W79" s="419"/>
      <c r="X79" s="65"/>
      <c r="Y79" s="335"/>
      <c r="Z79" s="1940"/>
      <c r="AA79" s="1953"/>
      <c r="AB79" s="1943"/>
      <c r="AC79" s="1693"/>
      <c r="AD79" s="1465"/>
      <c r="AE79" s="140"/>
      <c r="AF79" s="247"/>
      <c r="AG79" s="1940"/>
      <c r="AH79" s="1962"/>
      <c r="AI79" s="1104"/>
      <c r="AJ79" s="1966"/>
      <c r="AK79" s="1957"/>
      <c r="AL79" s="128"/>
      <c r="AM79" s="128"/>
      <c r="AN79" s="1909"/>
      <c r="AO79" s="73"/>
      <c r="AP79" s="1053"/>
      <c r="AW79" s="126" t="s">
        <v>105</v>
      </c>
    </row>
    <row r="80" spans="1:60" ht="147" customHeight="1">
      <c r="C80" s="1917"/>
      <c r="D80" s="1919"/>
      <c r="E80" s="1865"/>
      <c r="F80" s="1921"/>
      <c r="G80" s="1737"/>
      <c r="H80" s="1795"/>
      <c r="I80" s="1948"/>
      <c r="J80" s="1950"/>
      <c r="K80" s="1730"/>
      <c r="L80" s="2000"/>
      <c r="M80" s="1737"/>
      <c r="N80" s="1938"/>
      <c r="O80" s="172"/>
      <c r="P80" s="69"/>
      <c r="Q80" s="69"/>
      <c r="R80" s="262"/>
      <c r="S80" s="1955"/>
      <c r="T80" s="65"/>
      <c r="U80" s="1959"/>
      <c r="V80" s="1938"/>
      <c r="W80" s="419"/>
      <c r="X80" s="65"/>
      <c r="Y80" s="335"/>
      <c r="Z80" s="1940"/>
      <c r="AA80" s="1953"/>
      <c r="AB80" s="1943"/>
      <c r="AC80" s="1693"/>
      <c r="AD80" s="1465"/>
      <c r="AE80" s="140"/>
      <c r="AF80" s="247"/>
      <c r="AG80" s="1940"/>
      <c r="AH80" s="1962"/>
      <c r="AI80" s="1104"/>
      <c r="AJ80" s="1966"/>
      <c r="AK80" s="1957"/>
      <c r="AL80" s="128"/>
      <c r="AM80" s="128"/>
      <c r="AN80" s="1909"/>
      <c r="AO80" s="73"/>
      <c r="AP80" s="1053"/>
    </row>
    <row r="81" spans="1:60">
      <c r="C81" s="85"/>
      <c r="D81" s="85"/>
      <c r="E81" s="23"/>
      <c r="F81" s="23"/>
      <c r="G81" s="23"/>
      <c r="H81" s="84"/>
      <c r="I81" s="86"/>
      <c r="J81" s="1043"/>
      <c r="K81" s="1043"/>
      <c r="L81" s="1043"/>
      <c r="M81" s="1043"/>
      <c r="N81" s="1938"/>
      <c r="O81" s="1043"/>
      <c r="P81" s="86"/>
      <c r="Q81" s="86"/>
      <c r="R81" s="61"/>
      <c r="S81" s="23"/>
      <c r="T81" s="23"/>
      <c r="U81" s="1959"/>
      <c r="V81" s="1938"/>
      <c r="W81" s="419"/>
      <c r="X81" s="23"/>
      <c r="Y81" s="65"/>
      <c r="Z81" s="88"/>
      <c r="AA81" s="88"/>
      <c r="AB81" s="103"/>
      <c r="AC81" s="87"/>
      <c r="AD81" s="87"/>
      <c r="AE81" s="87"/>
      <c r="AF81" s="23"/>
      <c r="AG81" s="88"/>
      <c r="AH81" s="88"/>
      <c r="AI81" s="88"/>
      <c r="AJ81" s="88"/>
      <c r="AK81" s="88"/>
      <c r="AL81" s="130"/>
      <c r="AM81" s="130"/>
      <c r="AN81" s="27"/>
      <c r="AO81" s="68"/>
      <c r="AP81" s="1053"/>
    </row>
    <row r="82" spans="1:60">
      <c r="C82" s="85"/>
      <c r="D82" s="85"/>
      <c r="E82" s="23"/>
      <c r="F82" s="23"/>
      <c r="G82" s="23"/>
      <c r="H82" s="84"/>
      <c r="I82" s="86"/>
      <c r="J82" s="86"/>
      <c r="K82" s="86"/>
      <c r="L82" s="86"/>
      <c r="M82" s="86"/>
      <c r="N82" s="419"/>
      <c r="O82" s="86"/>
      <c r="P82" s="86"/>
      <c r="Q82" s="86"/>
      <c r="R82" s="61"/>
      <c r="S82" s="23"/>
      <c r="T82" s="23"/>
      <c r="U82" s="45"/>
      <c r="V82" s="419"/>
      <c r="W82" s="419"/>
      <c r="X82" s="23"/>
      <c r="Y82" s="65"/>
      <c r="Z82" s="88"/>
      <c r="AA82" s="88"/>
      <c r="AB82" s="103"/>
      <c r="AC82" s="87"/>
      <c r="AD82" s="87"/>
      <c r="AE82" s="87"/>
      <c r="AF82" s="23"/>
      <c r="AG82" s="88"/>
      <c r="AH82" s="88"/>
      <c r="AI82" s="88"/>
      <c r="AJ82" s="88"/>
      <c r="AK82" s="88"/>
      <c r="AL82" s="130"/>
      <c r="AM82" s="130"/>
      <c r="AN82" s="27"/>
      <c r="AO82" s="68"/>
      <c r="AP82" s="1053"/>
    </row>
    <row r="83" spans="1:60" s="14" customFormat="1">
      <c r="A83" s="927"/>
      <c r="B83" s="428"/>
      <c r="C83" s="1924"/>
      <c r="D83" s="1924"/>
      <c r="E83" s="1924"/>
      <c r="F83" s="1924"/>
      <c r="G83" s="1924"/>
      <c r="H83" s="1924"/>
      <c r="I83" s="1924"/>
      <c r="J83" s="1924"/>
      <c r="K83" s="1924"/>
      <c r="L83" s="1924"/>
      <c r="M83" s="1924"/>
      <c r="N83" s="1924"/>
      <c r="O83" s="1924"/>
      <c r="P83" s="1924"/>
      <c r="Q83" s="1924"/>
      <c r="R83" s="1924"/>
      <c r="S83" s="1924"/>
      <c r="T83" s="1914"/>
      <c r="U83" s="1914"/>
      <c r="V83" s="1914"/>
      <c r="W83" s="1914"/>
      <c r="X83" s="1914"/>
      <c r="Y83" s="1914"/>
      <c r="Z83" s="1914"/>
      <c r="AA83" s="1914"/>
      <c r="AB83" s="1914"/>
      <c r="AC83" s="1914"/>
      <c r="AD83" s="1914"/>
      <c r="AE83" s="1914"/>
      <c r="AF83" s="1914"/>
      <c r="AG83" s="1914"/>
      <c r="AH83" s="1914"/>
      <c r="AI83" s="1914"/>
      <c r="AJ83" s="1914"/>
      <c r="AK83" s="1914"/>
      <c r="AL83" s="1914"/>
      <c r="AM83" s="1914"/>
      <c r="AN83" s="1914"/>
      <c r="AO83" s="1914"/>
      <c r="AP83" s="1156"/>
      <c r="AT83" s="217"/>
      <c r="AU83" s="218"/>
      <c r="BC83" s="216"/>
      <c r="BD83" s="216"/>
      <c r="BE83" s="216"/>
    </row>
    <row r="84" spans="1:60" s="1229" customFormat="1" ht="32" customHeight="1">
      <c r="A84" s="1329"/>
      <c r="B84" s="1578" t="s">
        <v>101</v>
      </c>
      <c r="C84" s="1572" t="s">
        <v>35</v>
      </c>
      <c r="D84" s="1929" t="s">
        <v>2</v>
      </c>
      <c r="E84" s="1691"/>
      <c r="F84" s="1691"/>
      <c r="G84" s="1691"/>
      <c r="H84" s="1691"/>
      <c r="I84" s="1770"/>
      <c r="J84" s="1788" t="s">
        <v>645</v>
      </c>
      <c r="K84" s="1789"/>
      <c r="L84" s="1790"/>
      <c r="M84" s="1790"/>
      <c r="N84" s="1790"/>
      <c r="O84" s="1790"/>
      <c r="P84" s="1791"/>
      <c r="Q84" s="1790"/>
      <c r="R84" s="1684" t="s">
        <v>882</v>
      </c>
      <c r="S84" s="1779"/>
      <c r="T84" s="1786" t="s">
        <v>664</v>
      </c>
      <c r="U84" s="1787"/>
      <c r="V84" s="1787"/>
      <c r="W84" s="1787"/>
      <c r="X84" s="1787"/>
      <c r="Y84" s="1811" t="s">
        <v>648</v>
      </c>
      <c r="Z84" s="1812"/>
      <c r="AA84" s="1276"/>
      <c r="AB84" s="1276"/>
      <c r="AC84" s="1784" t="s">
        <v>162</v>
      </c>
      <c r="AD84" s="1785"/>
      <c r="AE84" s="1785"/>
      <c r="AF84" s="1782" t="s">
        <v>883</v>
      </c>
      <c r="AG84" s="1783"/>
      <c r="AH84" s="1457"/>
      <c r="AI84" s="1823" t="s">
        <v>167</v>
      </c>
      <c r="AJ84" s="1906"/>
      <c r="AK84" s="1906"/>
      <c r="AL84" s="1906"/>
      <c r="AM84" s="1906"/>
      <c r="AN84" s="1907"/>
      <c r="AO84" s="1278"/>
      <c r="AP84" s="1413"/>
      <c r="AS84" s="1219"/>
      <c r="AT84" s="1388"/>
      <c r="AU84" s="1368"/>
      <c r="BC84" s="1389"/>
      <c r="BD84" s="1389"/>
      <c r="BE84" s="1389"/>
    </row>
    <row r="85" spans="1:60">
      <c r="C85" s="505"/>
      <c r="D85" s="226">
        <v>1</v>
      </c>
      <c r="E85" s="227">
        <v>2</v>
      </c>
      <c r="F85" s="227">
        <v>3</v>
      </c>
      <c r="G85" s="227">
        <f t="shared" ref="G85:Q85" si="38">F85+1</f>
        <v>4</v>
      </c>
      <c r="H85" s="227">
        <f t="shared" si="38"/>
        <v>5</v>
      </c>
      <c r="I85" s="227">
        <f t="shared" si="38"/>
        <v>6</v>
      </c>
      <c r="J85" s="227">
        <f t="shared" si="38"/>
        <v>7</v>
      </c>
      <c r="K85" s="227">
        <f t="shared" si="38"/>
        <v>8</v>
      </c>
      <c r="L85" s="227">
        <f t="shared" si="38"/>
        <v>9</v>
      </c>
      <c r="M85" s="227">
        <f t="shared" si="38"/>
        <v>10</v>
      </c>
      <c r="N85" s="227">
        <f t="shared" si="38"/>
        <v>11</v>
      </c>
      <c r="O85" s="227">
        <f t="shared" si="38"/>
        <v>12</v>
      </c>
      <c r="P85" s="227">
        <f t="shared" si="38"/>
        <v>13</v>
      </c>
      <c r="Q85" s="227">
        <f t="shared" si="38"/>
        <v>14</v>
      </c>
      <c r="R85" s="1041">
        <v>15</v>
      </c>
      <c r="S85" s="1042">
        <v>16</v>
      </c>
      <c r="T85" s="226">
        <v>17</v>
      </c>
      <c r="U85" s="230">
        <f t="shared" ref="U85:AO85" si="39">T85+1</f>
        <v>18</v>
      </c>
      <c r="V85" s="230">
        <f t="shared" si="39"/>
        <v>19</v>
      </c>
      <c r="W85" s="230">
        <f t="shared" si="39"/>
        <v>20</v>
      </c>
      <c r="X85" s="228">
        <f t="shared" si="39"/>
        <v>21</v>
      </c>
      <c r="Y85" s="1044">
        <f t="shared" si="39"/>
        <v>22</v>
      </c>
      <c r="Z85" s="1044">
        <f t="shared" si="39"/>
        <v>23</v>
      </c>
      <c r="AA85" s="226">
        <f t="shared" si="39"/>
        <v>24</v>
      </c>
      <c r="AB85" s="228">
        <f t="shared" si="39"/>
        <v>25</v>
      </c>
      <c r="AC85" s="226">
        <f t="shared" si="39"/>
        <v>26</v>
      </c>
      <c r="AD85" s="230">
        <f t="shared" si="39"/>
        <v>27</v>
      </c>
      <c r="AE85" s="230">
        <f t="shared" si="39"/>
        <v>28</v>
      </c>
      <c r="AF85" s="1041">
        <f t="shared" si="39"/>
        <v>29</v>
      </c>
      <c r="AG85" s="1042">
        <f t="shared" si="39"/>
        <v>30</v>
      </c>
      <c r="AH85" s="226">
        <f>AG85+1</f>
        <v>31</v>
      </c>
      <c r="AI85" s="109">
        <f>AH85+1</f>
        <v>32</v>
      </c>
      <c r="AJ85" s="50">
        <f>AI85+1</f>
        <v>33</v>
      </c>
      <c r="AK85" s="230">
        <f t="shared" si="39"/>
        <v>34</v>
      </c>
      <c r="AL85" s="230">
        <f t="shared" si="39"/>
        <v>35</v>
      </c>
      <c r="AM85" s="50">
        <f>AL85+1</f>
        <v>36</v>
      </c>
      <c r="AN85" s="110">
        <f>AM85+1</f>
        <v>37</v>
      </c>
      <c r="AO85" s="245">
        <f t="shared" si="39"/>
        <v>38</v>
      </c>
      <c r="AP85" s="1053"/>
    </row>
    <row r="86" spans="1:60" s="14" customFormat="1" ht="127" customHeight="1">
      <c r="A86" s="927"/>
      <c r="B86" s="458"/>
      <c r="C86" s="1403" t="s">
        <v>1049</v>
      </c>
      <c r="D86" s="1239" t="s">
        <v>392</v>
      </c>
      <c r="E86" s="1240" t="s">
        <v>393</v>
      </c>
      <c r="F86" s="1405" t="s">
        <v>246</v>
      </c>
      <c r="G86" s="1240" t="s">
        <v>234</v>
      </c>
      <c r="H86" s="805" t="s">
        <v>1028</v>
      </c>
      <c r="I86" s="1002" t="s">
        <v>248</v>
      </c>
      <c r="J86" s="1240" t="s">
        <v>394</v>
      </c>
      <c r="K86" s="1240" t="s">
        <v>395</v>
      </c>
      <c r="L86" s="1240" t="s">
        <v>1181</v>
      </c>
      <c r="M86" s="1240" t="s">
        <v>1183</v>
      </c>
      <c r="N86" s="1240" t="s">
        <v>1185</v>
      </c>
      <c r="O86" s="1240" t="s">
        <v>396</v>
      </c>
      <c r="P86" s="1240" t="s">
        <v>397</v>
      </c>
      <c r="Q86" s="1405" t="s">
        <v>256</v>
      </c>
      <c r="R86" s="471" t="s">
        <v>383</v>
      </c>
      <c r="S86" s="1468" t="s">
        <v>384</v>
      </c>
      <c r="T86" s="1013" t="s">
        <v>305</v>
      </c>
      <c r="U86" s="1010" t="s">
        <v>398</v>
      </c>
      <c r="V86" s="1010" t="s">
        <v>318</v>
      </c>
      <c r="W86" s="1010" t="s">
        <v>261</v>
      </c>
      <c r="X86" s="1020" t="s">
        <v>367</v>
      </c>
      <c r="Y86" s="1469" t="s">
        <v>995</v>
      </c>
      <c r="Z86" s="1470" t="s">
        <v>996</v>
      </c>
      <c r="AA86" s="1010" t="s">
        <v>265</v>
      </c>
      <c r="AB86" s="1010" t="s">
        <v>266</v>
      </c>
      <c r="AC86" s="1239" t="s">
        <v>267</v>
      </c>
      <c r="AD86" s="1404" t="s">
        <v>369</v>
      </c>
      <c r="AE86" s="1010" t="s">
        <v>269</v>
      </c>
      <c r="AF86" s="1469" t="s">
        <v>350</v>
      </c>
      <c r="AG86" s="1470" t="s">
        <v>270</v>
      </c>
      <c r="AH86" s="1023" t="s">
        <v>271</v>
      </c>
      <c r="AI86" s="1312" t="s">
        <v>808</v>
      </c>
      <c r="AJ86" s="1267" t="s">
        <v>809</v>
      </c>
      <c r="AK86" s="1473" t="s">
        <v>14</v>
      </c>
      <c r="AL86" s="1348" t="s">
        <v>1</v>
      </c>
      <c r="AM86" s="1010" t="s">
        <v>810</v>
      </c>
      <c r="AN86" s="1020" t="s">
        <v>746</v>
      </c>
      <c r="AO86" s="1471" t="s">
        <v>272</v>
      </c>
      <c r="AP86" s="1156"/>
      <c r="AQ86" s="751" t="s">
        <v>638</v>
      </c>
      <c r="AR86" s="805" t="s">
        <v>357</v>
      </c>
      <c r="AS86" s="1406" t="s">
        <v>273</v>
      </c>
      <c r="AT86" s="805" t="s">
        <v>746</v>
      </c>
      <c r="AU86" s="1008" t="s">
        <v>811</v>
      </c>
      <c r="AV86" s="1008" t="s">
        <v>745</v>
      </c>
      <c r="BC86" s="216"/>
      <c r="BD86" s="1472" t="s">
        <v>822</v>
      </c>
      <c r="BE86" s="216"/>
    </row>
    <row r="87" spans="1:60" s="298" customFormat="1">
      <c r="A87" s="896">
        <f>A69+1</f>
        <v>27</v>
      </c>
      <c r="B87" s="889">
        <f>B69+1</f>
        <v>26</v>
      </c>
      <c r="C87" s="342" t="s">
        <v>1180</v>
      </c>
      <c r="D87" s="607">
        <v>359</v>
      </c>
      <c r="E87" s="862">
        <f t="shared" ref="E87:E92" si="40">2*D87</f>
        <v>718</v>
      </c>
      <c r="F87" s="862">
        <f>2*325</f>
        <v>650</v>
      </c>
      <c r="G87" s="656">
        <f t="shared" ref="G87:G92" si="41">F87*1.15</f>
        <v>747.49999999999989</v>
      </c>
      <c r="H87" s="274">
        <f t="shared" ref="H87:H92" si="42">E87*0.23</f>
        <v>165.14000000000001</v>
      </c>
      <c r="I87" s="273">
        <f t="shared" ref="I87:I92" si="43">0.5*(H87*1.1)</f>
        <v>90.827000000000012</v>
      </c>
      <c r="J87" s="656">
        <v>12</v>
      </c>
      <c r="K87" s="862">
        <f>10+15</f>
        <v>25</v>
      </c>
      <c r="L87" s="862">
        <v>220</v>
      </c>
      <c r="M87" s="656" t="s">
        <v>154</v>
      </c>
      <c r="N87" s="656" t="s">
        <v>154</v>
      </c>
      <c r="O87" s="656" t="s">
        <v>154</v>
      </c>
      <c r="P87" s="656" t="s">
        <v>154</v>
      </c>
      <c r="Q87" s="656">
        <f t="shared" ref="Q87:Q92" si="44">SUM(J87:P87)</f>
        <v>257</v>
      </c>
      <c r="R87" s="1046">
        <f t="shared" ref="R87:R92" si="45">2*Q87</f>
        <v>514</v>
      </c>
      <c r="S87" s="1047">
        <f t="shared" ref="S87:S92" si="46">R87+(2*71)</f>
        <v>656</v>
      </c>
      <c r="T87" s="644">
        <v>3.45</v>
      </c>
      <c r="U87" s="639">
        <v>93</v>
      </c>
      <c r="V87" s="648" t="s">
        <v>154</v>
      </c>
      <c r="W87" s="648" t="s">
        <v>154</v>
      </c>
      <c r="X87" s="653">
        <f t="shared" ref="X87:X92" si="47">SUM(T87:W87)</f>
        <v>96.45</v>
      </c>
      <c r="Y87" s="1048">
        <f t="shared" ref="Y87:Y92" si="48">2*X87</f>
        <v>192.9</v>
      </c>
      <c r="Z87" s="1049">
        <f t="shared" ref="Z87:Z92" si="49">Y87+(23)</f>
        <v>215.9</v>
      </c>
      <c r="AA87" s="655">
        <f t="shared" ref="AA87:AA92" si="50">Z87-H87</f>
        <v>50.759999999999991</v>
      </c>
      <c r="AB87" s="653">
        <f t="shared" ref="AB87:AB92" si="51">Z87-I87</f>
        <v>125.07299999999999</v>
      </c>
      <c r="AC87" s="862">
        <f>409</f>
        <v>409</v>
      </c>
      <c r="AD87" s="624">
        <f t="shared" ref="AD87:AD92" si="52">(33.89)+(AC87*0.2095)</f>
        <v>119.57549999999999</v>
      </c>
      <c r="AE87" s="653">
        <f t="shared" ref="AE87:AE92" si="53">X87-U87+AD87</f>
        <v>123.02549999999999</v>
      </c>
      <c r="AF87" s="1050">
        <f t="shared" ref="AF87:AF92" si="54">2*AE87</f>
        <v>246.05099999999999</v>
      </c>
      <c r="AG87" s="1051">
        <f t="shared" ref="AG87:AG92" si="55">AF87+(23)</f>
        <v>269.05099999999999</v>
      </c>
      <c r="AH87" s="659">
        <f t="shared" ref="AH87:AH92" si="56">AG87-I87</f>
        <v>178.22399999999999</v>
      </c>
      <c r="AI87" s="1261" t="s">
        <v>780</v>
      </c>
      <c r="AJ87" s="969">
        <v>80</v>
      </c>
      <c r="AK87" s="673">
        <f t="shared" ref="AK87:AK92" si="57">2*AJ87+(2*71)+(2*45)</f>
        <v>392</v>
      </c>
      <c r="AL87" s="673">
        <f t="shared" ref="AL87:AL92" si="58">S87-AK87</f>
        <v>264</v>
      </c>
      <c r="AM87" s="624">
        <f>31</f>
        <v>31</v>
      </c>
      <c r="AN87" s="273">
        <f>83+(23)+AM87</f>
        <v>137</v>
      </c>
      <c r="AO87" s="274">
        <f t="shared" ref="AO87:AO92" si="59">Z87-AN87</f>
        <v>78.900000000000006</v>
      </c>
      <c r="AP87" s="1157"/>
      <c r="AQ87" s="342" t="s">
        <v>652</v>
      </c>
      <c r="AR87" s="276">
        <f t="shared" ref="AR87:AR92" si="60">H87</f>
        <v>165.14000000000001</v>
      </c>
      <c r="AS87" s="261">
        <f t="shared" ref="AS87:AS92" si="61">Z87</f>
        <v>215.9</v>
      </c>
      <c r="AT87" s="261">
        <f t="shared" ref="AT87:AT92" si="62">AN87</f>
        <v>137</v>
      </c>
      <c r="AU87" s="804">
        <f t="shared" ref="AU87:AU92" si="63">S87-G87</f>
        <v>-91.499999999999886</v>
      </c>
      <c r="AV87" s="343">
        <f t="shared" ref="AV87:AV92" si="64">S87-AK87</f>
        <v>264</v>
      </c>
      <c r="BC87" s="385"/>
      <c r="BD87" s="1153">
        <f>B87</f>
        <v>26</v>
      </c>
      <c r="BE87" s="977"/>
      <c r="BH87" s="978"/>
    </row>
    <row r="88" spans="1:60" s="180" customFormat="1">
      <c r="A88" s="896">
        <f>A87+1</f>
        <v>28</v>
      </c>
      <c r="B88" s="889">
        <f>B87+1</f>
        <v>27</v>
      </c>
      <c r="C88" s="342" t="s">
        <v>696</v>
      </c>
      <c r="D88" s="607">
        <v>357</v>
      </c>
      <c r="E88" s="862">
        <f t="shared" si="40"/>
        <v>714</v>
      </c>
      <c r="F88" s="862">
        <f>2*320</f>
        <v>640</v>
      </c>
      <c r="G88" s="656">
        <f t="shared" si="41"/>
        <v>736</v>
      </c>
      <c r="H88" s="274">
        <f t="shared" si="42"/>
        <v>164.22</v>
      </c>
      <c r="I88" s="273">
        <f t="shared" si="43"/>
        <v>90.321000000000012</v>
      </c>
      <c r="J88" s="656">
        <v>12</v>
      </c>
      <c r="K88" s="862">
        <f t="shared" ref="K88:K92" si="65">10+15</f>
        <v>25</v>
      </c>
      <c r="L88" s="862">
        <v>170</v>
      </c>
      <c r="M88" s="656" t="s">
        <v>154</v>
      </c>
      <c r="N88" s="656" t="s">
        <v>154</v>
      </c>
      <c r="O88" s="656" t="s">
        <v>154</v>
      </c>
      <c r="P88" s="656" t="s">
        <v>154</v>
      </c>
      <c r="Q88" s="656">
        <f t="shared" si="44"/>
        <v>207</v>
      </c>
      <c r="R88" s="748">
        <f t="shared" si="45"/>
        <v>414</v>
      </c>
      <c r="S88" s="749">
        <f t="shared" si="46"/>
        <v>556</v>
      </c>
      <c r="T88" s="644">
        <v>3.45</v>
      </c>
      <c r="U88" s="639">
        <v>93</v>
      </c>
      <c r="V88" s="648" t="s">
        <v>154</v>
      </c>
      <c r="W88" s="648" t="s">
        <v>154</v>
      </c>
      <c r="X88" s="653">
        <f t="shared" si="47"/>
        <v>96.45</v>
      </c>
      <c r="Y88" s="532">
        <f t="shared" si="48"/>
        <v>192.9</v>
      </c>
      <c r="Z88" s="533">
        <f t="shared" si="49"/>
        <v>215.9</v>
      </c>
      <c r="AA88" s="655">
        <f t="shared" si="50"/>
        <v>51.680000000000007</v>
      </c>
      <c r="AB88" s="653">
        <f t="shared" si="51"/>
        <v>125.57899999999999</v>
      </c>
      <c r="AC88" s="862">
        <v>460</v>
      </c>
      <c r="AD88" s="624">
        <f t="shared" si="52"/>
        <v>130.26</v>
      </c>
      <c r="AE88" s="653">
        <f t="shared" si="53"/>
        <v>133.70999999999998</v>
      </c>
      <c r="AF88" s="443">
        <f t="shared" si="54"/>
        <v>267.41999999999996</v>
      </c>
      <c r="AG88" s="444">
        <f t="shared" si="55"/>
        <v>290.41999999999996</v>
      </c>
      <c r="AH88" s="659">
        <f t="shared" si="56"/>
        <v>200.09899999999993</v>
      </c>
      <c r="AI88" s="1261" t="s">
        <v>780</v>
      </c>
      <c r="AJ88" s="969">
        <v>80</v>
      </c>
      <c r="AK88" s="673">
        <f t="shared" si="57"/>
        <v>392</v>
      </c>
      <c r="AL88" s="673">
        <f t="shared" si="58"/>
        <v>164</v>
      </c>
      <c r="AM88" s="624">
        <v>31</v>
      </c>
      <c r="AN88" s="273">
        <f>83+(23)+AM88</f>
        <v>137</v>
      </c>
      <c r="AO88" s="274">
        <f t="shared" si="59"/>
        <v>78.900000000000006</v>
      </c>
      <c r="AP88" s="1055"/>
      <c r="AQ88" s="342" t="s">
        <v>452</v>
      </c>
      <c r="AR88" s="276">
        <f t="shared" si="60"/>
        <v>164.22</v>
      </c>
      <c r="AS88" s="261">
        <f t="shared" si="61"/>
        <v>215.9</v>
      </c>
      <c r="AT88" s="261">
        <f t="shared" si="62"/>
        <v>137</v>
      </c>
      <c r="AU88" s="804">
        <f t="shared" si="63"/>
        <v>-180</v>
      </c>
      <c r="AV88" s="343">
        <f t="shared" si="64"/>
        <v>164</v>
      </c>
      <c r="BC88" s="257"/>
      <c r="BD88" s="1153">
        <f t="shared" ref="BD88:BD92" si="66">B88</f>
        <v>27</v>
      </c>
      <c r="BE88" s="977"/>
      <c r="BH88" s="978"/>
    </row>
    <row r="89" spans="1:60" s="180" customFormat="1">
      <c r="A89" s="896">
        <f t="shared" ref="A89:A92" si="67">A88+1</f>
        <v>29</v>
      </c>
      <c r="B89" s="889">
        <f>B88+1</f>
        <v>28</v>
      </c>
      <c r="C89" s="342" t="s">
        <v>1033</v>
      </c>
      <c r="D89" s="607">
        <v>372</v>
      </c>
      <c r="E89" s="862">
        <f t="shared" si="40"/>
        <v>744</v>
      </c>
      <c r="F89" s="862">
        <f>2*337</f>
        <v>674</v>
      </c>
      <c r="G89" s="656">
        <f t="shared" si="41"/>
        <v>775.09999999999991</v>
      </c>
      <c r="H89" s="274">
        <f t="shared" si="42"/>
        <v>171.12</v>
      </c>
      <c r="I89" s="273">
        <f t="shared" si="43"/>
        <v>94.116000000000014</v>
      </c>
      <c r="J89" s="656">
        <v>12</v>
      </c>
      <c r="K89" s="862">
        <f t="shared" si="65"/>
        <v>25</v>
      </c>
      <c r="L89" s="862">
        <v>188</v>
      </c>
      <c r="M89" s="656" t="s">
        <v>154</v>
      </c>
      <c r="N89" s="656" t="s">
        <v>154</v>
      </c>
      <c r="O89" s="656" t="s">
        <v>154</v>
      </c>
      <c r="P89" s="656" t="s">
        <v>154</v>
      </c>
      <c r="Q89" s="656">
        <f t="shared" si="44"/>
        <v>225</v>
      </c>
      <c r="R89" s="748">
        <f t="shared" si="45"/>
        <v>450</v>
      </c>
      <c r="S89" s="749">
        <f t="shared" si="46"/>
        <v>592</v>
      </c>
      <c r="T89" s="644">
        <v>3.45</v>
      </c>
      <c r="U89" s="639">
        <v>93</v>
      </c>
      <c r="V89" s="648" t="s">
        <v>154</v>
      </c>
      <c r="W89" s="648" t="s">
        <v>154</v>
      </c>
      <c r="X89" s="653">
        <f t="shared" si="47"/>
        <v>96.45</v>
      </c>
      <c r="Y89" s="532">
        <f t="shared" si="48"/>
        <v>192.9</v>
      </c>
      <c r="Z89" s="533">
        <f t="shared" si="49"/>
        <v>215.9</v>
      </c>
      <c r="AA89" s="655">
        <f t="shared" si="50"/>
        <v>44.78</v>
      </c>
      <c r="AB89" s="653">
        <f t="shared" si="51"/>
        <v>121.78399999999999</v>
      </c>
      <c r="AC89" s="862">
        <v>466</v>
      </c>
      <c r="AD89" s="624">
        <f t="shared" si="52"/>
        <v>131.517</v>
      </c>
      <c r="AE89" s="653">
        <f t="shared" si="53"/>
        <v>134.96699999999998</v>
      </c>
      <c r="AF89" s="443">
        <f t="shared" si="54"/>
        <v>269.93399999999997</v>
      </c>
      <c r="AG89" s="444">
        <f t="shared" si="55"/>
        <v>292.93399999999997</v>
      </c>
      <c r="AH89" s="659">
        <f t="shared" si="56"/>
        <v>198.81799999999996</v>
      </c>
      <c r="AI89" s="1261" t="s">
        <v>780</v>
      </c>
      <c r="AJ89" s="969">
        <v>90</v>
      </c>
      <c r="AK89" s="673">
        <f t="shared" si="57"/>
        <v>412</v>
      </c>
      <c r="AL89" s="673">
        <f t="shared" si="58"/>
        <v>180</v>
      </c>
      <c r="AM89" s="624" t="s">
        <v>13</v>
      </c>
      <c r="AN89" s="273">
        <f>83+(23)</f>
        <v>106</v>
      </c>
      <c r="AO89" s="274">
        <f t="shared" si="59"/>
        <v>109.9</v>
      </c>
      <c r="AP89" s="1055"/>
      <c r="AQ89" s="342" t="s">
        <v>834</v>
      </c>
      <c r="AR89" s="276">
        <f t="shared" si="60"/>
        <v>171.12</v>
      </c>
      <c r="AS89" s="261">
        <f t="shared" si="61"/>
        <v>215.9</v>
      </c>
      <c r="AT89" s="261">
        <f t="shared" si="62"/>
        <v>106</v>
      </c>
      <c r="AU89" s="804">
        <f t="shared" si="63"/>
        <v>-183.09999999999991</v>
      </c>
      <c r="AV89" s="343">
        <f t="shared" si="64"/>
        <v>180</v>
      </c>
      <c r="BC89" s="257"/>
      <c r="BD89" s="1153">
        <f t="shared" si="66"/>
        <v>28</v>
      </c>
      <c r="BE89" s="385"/>
    </row>
    <row r="90" spans="1:60" s="180" customFormat="1">
      <c r="A90" s="896">
        <f t="shared" si="67"/>
        <v>30</v>
      </c>
      <c r="B90" s="889">
        <f>B89+1</f>
        <v>29</v>
      </c>
      <c r="C90" s="342" t="s">
        <v>1034</v>
      </c>
      <c r="D90" s="607">
        <v>385</v>
      </c>
      <c r="E90" s="862">
        <f t="shared" si="40"/>
        <v>770</v>
      </c>
      <c r="F90" s="862">
        <f>2*355</f>
        <v>710</v>
      </c>
      <c r="G90" s="656">
        <f t="shared" si="41"/>
        <v>816.49999999999989</v>
      </c>
      <c r="H90" s="274">
        <f t="shared" si="42"/>
        <v>177.1</v>
      </c>
      <c r="I90" s="273">
        <f t="shared" si="43"/>
        <v>97.405000000000001</v>
      </c>
      <c r="J90" s="656">
        <v>12</v>
      </c>
      <c r="K90" s="862">
        <f t="shared" si="65"/>
        <v>25</v>
      </c>
      <c r="L90" s="862">
        <v>236</v>
      </c>
      <c r="M90" s="656" t="s">
        <v>154</v>
      </c>
      <c r="N90" s="656" t="s">
        <v>154</v>
      </c>
      <c r="O90" s="656" t="s">
        <v>154</v>
      </c>
      <c r="P90" s="656" t="s">
        <v>154</v>
      </c>
      <c r="Q90" s="656">
        <f t="shared" si="44"/>
        <v>273</v>
      </c>
      <c r="R90" s="748">
        <f t="shared" si="45"/>
        <v>546</v>
      </c>
      <c r="S90" s="749">
        <f t="shared" si="46"/>
        <v>688</v>
      </c>
      <c r="T90" s="644">
        <v>3.45</v>
      </c>
      <c r="U90" s="639">
        <v>93</v>
      </c>
      <c r="V90" s="648" t="s">
        <v>154</v>
      </c>
      <c r="W90" s="648" t="s">
        <v>154</v>
      </c>
      <c r="X90" s="653">
        <f t="shared" si="47"/>
        <v>96.45</v>
      </c>
      <c r="Y90" s="532">
        <f t="shared" si="48"/>
        <v>192.9</v>
      </c>
      <c r="Z90" s="533">
        <f t="shared" si="49"/>
        <v>215.9</v>
      </c>
      <c r="AA90" s="655">
        <f t="shared" si="50"/>
        <v>38.800000000000011</v>
      </c>
      <c r="AB90" s="653">
        <f t="shared" si="51"/>
        <v>118.495</v>
      </c>
      <c r="AC90" s="862">
        <v>481</v>
      </c>
      <c r="AD90" s="624">
        <f t="shared" si="52"/>
        <v>134.65949999999998</v>
      </c>
      <c r="AE90" s="653">
        <f t="shared" si="53"/>
        <v>138.10949999999997</v>
      </c>
      <c r="AF90" s="443">
        <f t="shared" si="54"/>
        <v>276.21899999999994</v>
      </c>
      <c r="AG90" s="444">
        <f t="shared" si="55"/>
        <v>299.21899999999994</v>
      </c>
      <c r="AH90" s="659">
        <f t="shared" si="56"/>
        <v>201.81399999999994</v>
      </c>
      <c r="AI90" s="1261" t="s">
        <v>780</v>
      </c>
      <c r="AJ90" s="969">
        <v>90</v>
      </c>
      <c r="AK90" s="673">
        <f t="shared" si="57"/>
        <v>412</v>
      </c>
      <c r="AL90" s="673">
        <f t="shared" si="58"/>
        <v>276</v>
      </c>
      <c r="AM90" s="624">
        <v>15</v>
      </c>
      <c r="AN90" s="273">
        <f>83+(23)+AM90</f>
        <v>121</v>
      </c>
      <c r="AO90" s="274">
        <f t="shared" si="59"/>
        <v>94.9</v>
      </c>
      <c r="AP90" s="1055"/>
      <c r="AQ90" s="342" t="s">
        <v>451</v>
      </c>
      <c r="AR90" s="276">
        <f t="shared" si="60"/>
        <v>177.1</v>
      </c>
      <c r="AS90" s="261">
        <f t="shared" si="61"/>
        <v>215.9</v>
      </c>
      <c r="AT90" s="261">
        <f t="shared" si="62"/>
        <v>121</v>
      </c>
      <c r="AU90" s="804">
        <f t="shared" si="63"/>
        <v>-128.49999999999989</v>
      </c>
      <c r="AV90" s="343">
        <f t="shared" si="64"/>
        <v>276</v>
      </c>
      <c r="BC90" s="257"/>
      <c r="BD90" s="1153">
        <f t="shared" si="66"/>
        <v>29</v>
      </c>
      <c r="BE90" s="977"/>
      <c r="BH90" s="135"/>
    </row>
    <row r="91" spans="1:60" s="180" customFormat="1">
      <c r="A91" s="896">
        <f t="shared" si="67"/>
        <v>31</v>
      </c>
      <c r="B91" s="889">
        <f t="shared" ref="B91:B92" si="68">B90+1</f>
        <v>30</v>
      </c>
      <c r="C91" s="1014" t="s">
        <v>1187</v>
      </c>
      <c r="D91" s="607">
        <v>397</v>
      </c>
      <c r="E91" s="862">
        <f t="shared" si="40"/>
        <v>794</v>
      </c>
      <c r="F91" s="862">
        <f>2*371</f>
        <v>742</v>
      </c>
      <c r="G91" s="656">
        <f t="shared" si="41"/>
        <v>853.3</v>
      </c>
      <c r="H91" s="274">
        <f t="shared" si="42"/>
        <v>182.62</v>
      </c>
      <c r="I91" s="273">
        <f t="shared" si="43"/>
        <v>100.44100000000002</v>
      </c>
      <c r="J91" s="656">
        <v>13</v>
      </c>
      <c r="K91" s="862">
        <f t="shared" si="65"/>
        <v>25</v>
      </c>
      <c r="L91" s="862">
        <v>188</v>
      </c>
      <c r="M91" s="656">
        <v>15</v>
      </c>
      <c r="N91" s="656">
        <v>81</v>
      </c>
      <c r="O91" s="656" t="s">
        <v>154</v>
      </c>
      <c r="P91" s="656" t="s">
        <v>154</v>
      </c>
      <c r="Q91" s="656">
        <f t="shared" si="44"/>
        <v>322</v>
      </c>
      <c r="R91" s="748">
        <f t="shared" si="45"/>
        <v>644</v>
      </c>
      <c r="S91" s="749">
        <f t="shared" si="46"/>
        <v>786</v>
      </c>
      <c r="T91" s="644">
        <v>3.45</v>
      </c>
      <c r="U91" s="639">
        <v>93</v>
      </c>
      <c r="V91" s="639">
        <v>1.75</v>
      </c>
      <c r="W91" s="648" t="s">
        <v>154</v>
      </c>
      <c r="X91" s="653">
        <f t="shared" si="47"/>
        <v>98.2</v>
      </c>
      <c r="Y91" s="532">
        <f t="shared" si="48"/>
        <v>196.4</v>
      </c>
      <c r="Z91" s="533">
        <f t="shared" si="49"/>
        <v>219.4</v>
      </c>
      <c r="AA91" s="655">
        <f t="shared" si="50"/>
        <v>36.78</v>
      </c>
      <c r="AB91" s="653">
        <f t="shared" si="51"/>
        <v>118.95899999999999</v>
      </c>
      <c r="AC91" s="862">
        <v>486</v>
      </c>
      <c r="AD91" s="624">
        <f t="shared" si="52"/>
        <v>135.70699999999999</v>
      </c>
      <c r="AE91" s="653">
        <f t="shared" si="53"/>
        <v>140.90699999999998</v>
      </c>
      <c r="AF91" s="443">
        <f t="shared" si="54"/>
        <v>281.81399999999996</v>
      </c>
      <c r="AG91" s="444">
        <f t="shared" si="55"/>
        <v>304.81399999999996</v>
      </c>
      <c r="AH91" s="659">
        <f t="shared" si="56"/>
        <v>204.37299999999993</v>
      </c>
      <c r="AI91" s="1261" t="s">
        <v>780</v>
      </c>
      <c r="AJ91" s="969">
        <v>90</v>
      </c>
      <c r="AK91" s="673">
        <f t="shared" si="57"/>
        <v>412</v>
      </c>
      <c r="AL91" s="673">
        <f t="shared" si="58"/>
        <v>374</v>
      </c>
      <c r="AM91" s="624">
        <v>31</v>
      </c>
      <c r="AN91" s="273">
        <f>83+(23)+AM91</f>
        <v>137</v>
      </c>
      <c r="AO91" s="274">
        <f t="shared" si="59"/>
        <v>82.4</v>
      </c>
      <c r="AP91" s="1055"/>
      <c r="AQ91" s="1014" t="s">
        <v>1188</v>
      </c>
      <c r="AR91" s="276">
        <f t="shared" si="60"/>
        <v>182.62</v>
      </c>
      <c r="AS91" s="261">
        <f t="shared" si="61"/>
        <v>219.4</v>
      </c>
      <c r="AT91" s="261">
        <f t="shared" si="62"/>
        <v>137</v>
      </c>
      <c r="AU91" s="804">
        <f t="shared" si="63"/>
        <v>-67.299999999999955</v>
      </c>
      <c r="AV91" s="343">
        <f t="shared" si="64"/>
        <v>374</v>
      </c>
      <c r="BC91" s="257"/>
      <c r="BD91" s="1153">
        <f t="shared" si="66"/>
        <v>30</v>
      </c>
      <c r="BE91" s="1581"/>
      <c r="BH91" s="135"/>
    </row>
    <row r="92" spans="1:60" s="180" customFormat="1">
      <c r="A92" s="896">
        <f t="shared" si="67"/>
        <v>32</v>
      </c>
      <c r="B92" s="889">
        <f t="shared" si="68"/>
        <v>31</v>
      </c>
      <c r="C92" s="342" t="s">
        <v>1035</v>
      </c>
      <c r="D92" s="607">
        <v>401</v>
      </c>
      <c r="E92" s="862">
        <f t="shared" si="40"/>
        <v>802</v>
      </c>
      <c r="F92" s="862">
        <f>2*377</f>
        <v>754</v>
      </c>
      <c r="G92" s="656">
        <f t="shared" si="41"/>
        <v>867.09999999999991</v>
      </c>
      <c r="H92" s="274">
        <f t="shared" si="42"/>
        <v>184.46</v>
      </c>
      <c r="I92" s="273">
        <f t="shared" si="43"/>
        <v>101.45300000000002</v>
      </c>
      <c r="J92" s="656">
        <v>12</v>
      </c>
      <c r="K92" s="862">
        <f t="shared" si="65"/>
        <v>25</v>
      </c>
      <c r="L92" s="862">
        <v>248</v>
      </c>
      <c r="M92" s="656" t="s">
        <v>154</v>
      </c>
      <c r="N92" s="656" t="s">
        <v>154</v>
      </c>
      <c r="O92" s="656" t="s">
        <v>154</v>
      </c>
      <c r="P92" s="656" t="s">
        <v>154</v>
      </c>
      <c r="Q92" s="656">
        <f t="shared" si="44"/>
        <v>285</v>
      </c>
      <c r="R92" s="748">
        <f t="shared" si="45"/>
        <v>570</v>
      </c>
      <c r="S92" s="749">
        <f t="shared" si="46"/>
        <v>712</v>
      </c>
      <c r="T92" s="644">
        <v>3.45</v>
      </c>
      <c r="U92" s="639">
        <v>93</v>
      </c>
      <c r="V92" s="648" t="s">
        <v>154</v>
      </c>
      <c r="W92" s="648" t="s">
        <v>154</v>
      </c>
      <c r="X92" s="653">
        <f t="shared" si="47"/>
        <v>96.45</v>
      </c>
      <c r="Y92" s="532">
        <f t="shared" si="48"/>
        <v>192.9</v>
      </c>
      <c r="Z92" s="533">
        <f t="shared" si="49"/>
        <v>215.9</v>
      </c>
      <c r="AA92" s="655">
        <f t="shared" si="50"/>
        <v>31.439999999999998</v>
      </c>
      <c r="AB92" s="653">
        <f t="shared" si="51"/>
        <v>114.44699999999999</v>
      </c>
      <c r="AC92" s="862">
        <v>493</v>
      </c>
      <c r="AD92" s="624">
        <f t="shared" si="52"/>
        <v>137.17349999999999</v>
      </c>
      <c r="AE92" s="653">
        <f t="shared" si="53"/>
        <v>140.62349999999998</v>
      </c>
      <c r="AF92" s="443">
        <f t="shared" si="54"/>
        <v>281.24699999999996</v>
      </c>
      <c r="AG92" s="444">
        <f t="shared" si="55"/>
        <v>304.24699999999996</v>
      </c>
      <c r="AH92" s="659">
        <f t="shared" si="56"/>
        <v>202.79399999999993</v>
      </c>
      <c r="AI92" s="1261" t="s">
        <v>780</v>
      </c>
      <c r="AJ92" s="969">
        <v>90</v>
      </c>
      <c r="AK92" s="673">
        <f t="shared" si="57"/>
        <v>412</v>
      </c>
      <c r="AL92" s="673">
        <f t="shared" si="58"/>
        <v>300</v>
      </c>
      <c r="AM92" s="624">
        <v>15</v>
      </c>
      <c r="AN92" s="273">
        <f>83+(23)+AM92</f>
        <v>121</v>
      </c>
      <c r="AO92" s="274">
        <f t="shared" si="59"/>
        <v>94.9</v>
      </c>
      <c r="AP92" s="1055"/>
      <c r="AQ92" s="342" t="s">
        <v>653</v>
      </c>
      <c r="AR92" s="276">
        <f t="shared" si="60"/>
        <v>184.46</v>
      </c>
      <c r="AS92" s="261">
        <f t="shared" si="61"/>
        <v>215.9</v>
      </c>
      <c r="AT92" s="261">
        <f t="shared" si="62"/>
        <v>121</v>
      </c>
      <c r="AU92" s="804">
        <f t="shared" si="63"/>
        <v>-155.09999999999991</v>
      </c>
      <c r="AV92" s="343">
        <f t="shared" si="64"/>
        <v>300</v>
      </c>
      <c r="BC92" s="257"/>
      <c r="BD92" s="1153">
        <f t="shared" si="66"/>
        <v>31</v>
      </c>
      <c r="BH92" s="135"/>
    </row>
    <row r="93" spans="1:60" ht="314" customHeight="1">
      <c r="C93" s="1462" t="s">
        <v>1032</v>
      </c>
      <c r="D93" s="1819" t="s">
        <v>1029</v>
      </c>
      <c r="E93" s="1865"/>
      <c r="F93" s="1460" t="s">
        <v>1030</v>
      </c>
      <c r="G93" s="1006" t="s">
        <v>1031</v>
      </c>
      <c r="H93" s="1461" t="s">
        <v>540</v>
      </c>
      <c r="I93" s="1027"/>
      <c r="J93" s="1393" t="s">
        <v>923</v>
      </c>
      <c r="K93" s="1376" t="s">
        <v>1043</v>
      </c>
      <c r="L93" s="1376" t="s">
        <v>1036</v>
      </c>
      <c r="M93" s="1582" t="s">
        <v>1182</v>
      </c>
      <c r="N93" s="1582" t="s">
        <v>1184</v>
      </c>
      <c r="O93" s="172"/>
      <c r="P93" s="172"/>
      <c r="Q93" s="172"/>
      <c r="R93" s="448"/>
      <c r="S93" s="1463" t="s">
        <v>1052</v>
      </c>
      <c r="T93" s="657" t="s">
        <v>1050</v>
      </c>
      <c r="U93" s="1350" t="s">
        <v>999</v>
      </c>
      <c r="V93" s="601" t="s">
        <v>1186</v>
      </c>
      <c r="W93" s="208"/>
      <c r="X93" s="658"/>
      <c r="Y93" s="65"/>
      <c r="Z93" s="553" t="s">
        <v>1051</v>
      </c>
      <c r="AA93" s="70"/>
      <c r="AB93" s="634" t="s">
        <v>541</v>
      </c>
      <c r="AC93" s="1316" t="s">
        <v>1053</v>
      </c>
      <c r="AD93" s="1454" t="s">
        <v>542</v>
      </c>
      <c r="AE93" s="188"/>
      <c r="AF93" s="23"/>
      <c r="AG93" s="553" t="s">
        <v>1051</v>
      </c>
      <c r="AH93" s="442"/>
      <c r="AI93" s="1105"/>
      <c r="AJ93" s="1371" t="s">
        <v>1150</v>
      </c>
      <c r="AK93" s="641"/>
      <c r="AL93" s="130"/>
      <c r="AM93" s="130"/>
      <c r="AN93" s="171" t="s">
        <v>1054</v>
      </c>
      <c r="AO93" s="447"/>
      <c r="AP93" s="1053"/>
    </row>
    <row r="94" spans="1:60">
      <c r="AC94" s="22"/>
      <c r="AD94" s="22"/>
      <c r="AE94" s="22"/>
      <c r="AK94" s="1108"/>
      <c r="AR94" s="126" t="s">
        <v>105</v>
      </c>
      <c r="AS94" s="126" t="s">
        <v>105</v>
      </c>
      <c r="AT94" s="126" t="s">
        <v>105</v>
      </c>
      <c r="AU94" s="126" t="s">
        <v>105</v>
      </c>
      <c r="AV94" s="126" t="s">
        <v>105</v>
      </c>
      <c r="AW94" s="126" t="s">
        <v>105</v>
      </c>
    </row>
    <row r="95" spans="1:60">
      <c r="AC95" s="22"/>
      <c r="AD95" s="22"/>
      <c r="AE95" s="22"/>
      <c r="AR95" s="126" t="s">
        <v>105</v>
      </c>
      <c r="AS95" s="126" t="s">
        <v>105</v>
      </c>
      <c r="AT95" s="126" t="s">
        <v>105</v>
      </c>
      <c r="AU95" s="126" t="s">
        <v>105</v>
      </c>
      <c r="AV95" s="126" t="s">
        <v>105</v>
      </c>
      <c r="AW95" s="126"/>
    </row>
    <row r="96" spans="1:60" s="1229" customFormat="1" ht="35" customHeight="1">
      <c r="A96" s="1329"/>
      <c r="B96" s="1578" t="s">
        <v>135</v>
      </c>
      <c r="C96" s="1572" t="s">
        <v>35</v>
      </c>
      <c r="D96" s="1929" t="s">
        <v>2</v>
      </c>
      <c r="E96" s="1691"/>
      <c r="F96" s="1691"/>
      <c r="G96" s="1691"/>
      <c r="H96" s="1691"/>
      <c r="I96" s="1770"/>
      <c r="J96" s="1788" t="s">
        <v>645</v>
      </c>
      <c r="K96" s="1789"/>
      <c r="L96" s="1790"/>
      <c r="M96" s="1790"/>
      <c r="N96" s="1790"/>
      <c r="O96" s="1790"/>
      <c r="P96" s="1791"/>
      <c r="Q96" s="1790"/>
      <c r="R96" s="1684" t="s">
        <v>882</v>
      </c>
      <c r="S96" s="1779"/>
      <c r="T96" s="1786" t="s">
        <v>664</v>
      </c>
      <c r="U96" s="1787"/>
      <c r="V96" s="1787"/>
      <c r="W96" s="1787"/>
      <c r="X96" s="1787"/>
      <c r="Y96" s="1811" t="s">
        <v>648</v>
      </c>
      <c r="Z96" s="1812"/>
      <c r="AA96" s="1276"/>
      <c r="AB96" s="1276"/>
      <c r="AC96" s="1784" t="s">
        <v>162</v>
      </c>
      <c r="AD96" s="1785"/>
      <c r="AE96" s="1785"/>
      <c r="AF96" s="1782" t="s">
        <v>883</v>
      </c>
      <c r="AG96" s="1783"/>
      <c r="AH96" s="1457"/>
      <c r="AI96" s="1823" t="s">
        <v>167</v>
      </c>
      <c r="AJ96" s="1906"/>
      <c r="AK96" s="1906"/>
      <c r="AL96" s="1906"/>
      <c r="AM96" s="1906"/>
      <c r="AN96" s="1907"/>
      <c r="AO96" s="1278"/>
      <c r="AP96" s="1413"/>
      <c r="AS96" s="1219"/>
      <c r="AT96" s="1388"/>
      <c r="AU96" s="1368"/>
      <c r="BC96" s="1389"/>
      <c r="BD96" s="1389"/>
      <c r="BE96" s="1389"/>
    </row>
    <row r="97" spans="1:63">
      <c r="C97" s="505"/>
      <c r="D97" s="226">
        <v>1</v>
      </c>
      <c r="E97" s="227">
        <v>2</v>
      </c>
      <c r="F97" s="227">
        <v>3</v>
      </c>
      <c r="G97" s="227">
        <f t="shared" ref="G97" si="69">F97+1</f>
        <v>4</v>
      </c>
      <c r="H97" s="227">
        <f t="shared" ref="H97" si="70">G97+1</f>
        <v>5</v>
      </c>
      <c r="I97" s="227">
        <f t="shared" ref="I97" si="71">H97+1</f>
        <v>6</v>
      </c>
      <c r="J97" s="227">
        <f t="shared" ref="J97" si="72">I97+1</f>
        <v>7</v>
      </c>
      <c r="K97" s="227">
        <f t="shared" ref="K97" si="73">J97+1</f>
        <v>8</v>
      </c>
      <c r="L97" s="227">
        <f t="shared" ref="L97" si="74">K97+1</f>
        <v>9</v>
      </c>
      <c r="M97" s="227">
        <f t="shared" ref="M97" si="75">L97+1</f>
        <v>10</v>
      </c>
      <c r="N97" s="227">
        <f t="shared" ref="N97" si="76">M97+1</f>
        <v>11</v>
      </c>
      <c r="O97" s="227">
        <f t="shared" ref="O97" si="77">N97+1</f>
        <v>12</v>
      </c>
      <c r="P97" s="227">
        <f t="shared" ref="P97" si="78">O97+1</f>
        <v>13</v>
      </c>
      <c r="Q97" s="227">
        <f t="shared" ref="Q97" si="79">P97+1</f>
        <v>14</v>
      </c>
      <c r="R97" s="1041">
        <v>15</v>
      </c>
      <c r="S97" s="1042">
        <v>16</v>
      </c>
      <c r="T97" s="226">
        <v>17</v>
      </c>
      <c r="U97" s="230">
        <f t="shared" ref="U97" si="80">T97+1</f>
        <v>18</v>
      </c>
      <c r="V97" s="230">
        <f t="shared" ref="V97" si="81">U97+1</f>
        <v>19</v>
      </c>
      <c r="W97" s="230">
        <f t="shared" ref="W97" si="82">V97+1</f>
        <v>20</v>
      </c>
      <c r="X97" s="228">
        <f t="shared" ref="X97" si="83">W97+1</f>
        <v>21</v>
      </c>
      <c r="Y97" s="1044">
        <f t="shared" ref="Y97" si="84">X97+1</f>
        <v>22</v>
      </c>
      <c r="Z97" s="1044">
        <f t="shared" ref="Z97" si="85">Y97+1</f>
        <v>23</v>
      </c>
      <c r="AA97" s="226">
        <f t="shared" ref="AA97" si="86">Z97+1</f>
        <v>24</v>
      </c>
      <c r="AB97" s="228">
        <f t="shared" ref="AB97" si="87">AA97+1</f>
        <v>25</v>
      </c>
      <c r="AC97" s="226">
        <f t="shared" ref="AC97" si="88">AB97+1</f>
        <v>26</v>
      </c>
      <c r="AD97" s="230">
        <f t="shared" ref="AD97" si="89">AC97+1</f>
        <v>27</v>
      </c>
      <c r="AE97" s="230">
        <f t="shared" ref="AE97" si="90">AD97+1</f>
        <v>28</v>
      </c>
      <c r="AF97" s="1041">
        <f t="shared" ref="AF97" si="91">AE97+1</f>
        <v>29</v>
      </c>
      <c r="AG97" s="1042">
        <f t="shared" ref="AG97" si="92">AF97+1</f>
        <v>30</v>
      </c>
      <c r="AH97" s="226">
        <f>AG97+1</f>
        <v>31</v>
      </c>
      <c r="AI97" s="109">
        <f>AH97+1</f>
        <v>32</v>
      </c>
      <c r="AJ97" s="50">
        <f>AI97+1</f>
        <v>33</v>
      </c>
      <c r="AK97" s="230">
        <f t="shared" ref="AK97" si="93">AJ97+1</f>
        <v>34</v>
      </c>
      <c r="AL97" s="230">
        <f t="shared" ref="AL97" si="94">AK97+1</f>
        <v>35</v>
      </c>
      <c r="AM97" s="50">
        <f>AL97+1</f>
        <v>36</v>
      </c>
      <c r="AN97" s="110">
        <f>AM97+1</f>
        <v>37</v>
      </c>
      <c r="AO97" s="245">
        <f t="shared" ref="AO97" si="95">AN97+1</f>
        <v>38</v>
      </c>
      <c r="AP97" s="1053"/>
    </row>
    <row r="98" spans="1:63" ht="128" customHeight="1">
      <c r="B98" s="458"/>
      <c r="C98" s="1311" t="s">
        <v>1066</v>
      </c>
      <c r="D98" s="1474" t="s">
        <v>392</v>
      </c>
      <c r="E98" s="1269" t="s">
        <v>685</v>
      </c>
      <c r="F98" s="1348" t="s">
        <v>246</v>
      </c>
      <c r="G98" s="1312" t="s">
        <v>234</v>
      </c>
      <c r="H98" s="805" t="s">
        <v>1028</v>
      </c>
      <c r="I98" s="1002" t="s">
        <v>248</v>
      </c>
      <c r="J98" s="1240" t="s">
        <v>1057</v>
      </c>
      <c r="K98" s="1240" t="s">
        <v>1058</v>
      </c>
      <c r="L98" s="1240" t="s">
        <v>1061</v>
      </c>
      <c r="M98" s="1240" t="s">
        <v>678</v>
      </c>
      <c r="N98" s="1240" t="s">
        <v>679</v>
      </c>
      <c r="O98" s="1240" t="s">
        <v>396</v>
      </c>
      <c r="P98" s="1240" t="s">
        <v>397</v>
      </c>
      <c r="Q98" s="1405" t="s">
        <v>256</v>
      </c>
      <c r="R98" s="602" t="s">
        <v>383</v>
      </c>
      <c r="S98" s="457" t="s">
        <v>384</v>
      </c>
      <c r="T98" s="1013" t="s">
        <v>681</v>
      </c>
      <c r="U98" s="1010" t="s">
        <v>682</v>
      </c>
      <c r="V98" s="1010" t="s">
        <v>683</v>
      </c>
      <c r="W98" s="1010" t="s">
        <v>684</v>
      </c>
      <c r="X98" s="1020" t="s">
        <v>367</v>
      </c>
      <c r="Y98" s="523" t="s">
        <v>995</v>
      </c>
      <c r="Z98" s="599" t="s">
        <v>996</v>
      </c>
      <c r="AA98" s="1010" t="s">
        <v>265</v>
      </c>
      <c r="AB98" s="1010" t="s">
        <v>266</v>
      </c>
      <c r="AC98" s="1239" t="s">
        <v>1065</v>
      </c>
      <c r="AD98" s="872" t="s">
        <v>369</v>
      </c>
      <c r="AE98" s="1010" t="s">
        <v>269</v>
      </c>
      <c r="AF98" s="605" t="s">
        <v>350</v>
      </c>
      <c r="AG98" s="187" t="s">
        <v>270</v>
      </c>
      <c r="AH98" s="1087" t="s">
        <v>271</v>
      </c>
      <c r="AI98" s="1266" t="s">
        <v>808</v>
      </c>
      <c r="AJ98" s="1267" t="s">
        <v>809</v>
      </c>
      <c r="AK98" s="1318" t="s">
        <v>14</v>
      </c>
      <c r="AL98" s="1466" t="s">
        <v>1</v>
      </c>
      <c r="AM98" s="1010" t="s">
        <v>810</v>
      </c>
      <c r="AN98" s="1020" t="s">
        <v>746</v>
      </c>
      <c r="AO98" s="446" t="s">
        <v>272</v>
      </c>
      <c r="AP98" s="1053"/>
      <c r="AQ98" s="409"/>
      <c r="AR98" s="805" t="s">
        <v>357</v>
      </c>
      <c r="AS98" s="988" t="s">
        <v>273</v>
      </c>
      <c r="AT98" s="805" t="s">
        <v>746</v>
      </c>
      <c r="AU98" s="1008" t="s">
        <v>811</v>
      </c>
      <c r="AV98" s="1008" t="s">
        <v>745</v>
      </c>
      <c r="BD98" s="1149" t="s">
        <v>822</v>
      </c>
    </row>
    <row r="99" spans="1:63" s="945" customFormat="1" ht="16" customHeight="1">
      <c r="A99" s="936">
        <f>A92+1</f>
        <v>33</v>
      </c>
      <c r="B99" s="952">
        <f>B92+1</f>
        <v>32</v>
      </c>
      <c r="C99" s="949" t="s">
        <v>688</v>
      </c>
      <c r="D99" s="1263">
        <v>373</v>
      </c>
      <c r="E99" s="1475">
        <f>2*D99</f>
        <v>746</v>
      </c>
      <c r="F99" s="1476">
        <f>2*(335)</f>
        <v>670</v>
      </c>
      <c r="G99" s="672">
        <f t="shared" ref="G99:G103" si="96">F99*1.15</f>
        <v>770.49999999999989</v>
      </c>
      <c r="H99" s="274">
        <f t="shared" ref="H99:H103" si="97">E99*0.23</f>
        <v>171.58</v>
      </c>
      <c r="I99" s="273">
        <f t="shared" ref="I99:I103" si="98">0.5*(H99*1.1)</f>
        <v>94.369000000000014</v>
      </c>
      <c r="J99" s="1069">
        <v>200</v>
      </c>
      <c r="K99" s="1069">
        <v>15</v>
      </c>
      <c r="L99" s="1069">
        <v>135</v>
      </c>
      <c r="M99" s="1069" t="s">
        <v>680</v>
      </c>
      <c r="N99" s="1069" t="s">
        <v>680</v>
      </c>
      <c r="O99" s="945" t="s">
        <v>680</v>
      </c>
      <c r="P99" s="945" t="s">
        <v>680</v>
      </c>
      <c r="Q99" s="656">
        <f>SUM(J99:P99)</f>
        <v>350</v>
      </c>
      <c r="R99" s="610">
        <f>2*Q99</f>
        <v>700</v>
      </c>
      <c r="S99" s="747">
        <f>R99+(2*71)</f>
        <v>842</v>
      </c>
      <c r="T99" s="1479">
        <v>10</v>
      </c>
      <c r="U99" s="1479">
        <v>89</v>
      </c>
      <c r="V99" s="1480" t="s">
        <v>680</v>
      </c>
      <c r="W99" s="1480" t="s">
        <v>680</v>
      </c>
      <c r="X99" s="666">
        <f>SUM(T99:W99)</f>
        <v>99</v>
      </c>
      <c r="Y99" s="524">
        <f>2*X99</f>
        <v>198</v>
      </c>
      <c r="Z99" s="527">
        <f>Y99+(23)</f>
        <v>221</v>
      </c>
      <c r="AA99" s="655">
        <f>Z99-H99</f>
        <v>49.419999999999987</v>
      </c>
      <c r="AB99" s="653">
        <f>Z99-I99</f>
        <v>126.63099999999999</v>
      </c>
      <c r="AC99" s="948">
        <v>269</v>
      </c>
      <c r="AD99" s="624">
        <f>(33.89)+(AC99*0.2095)</f>
        <v>90.245499999999993</v>
      </c>
      <c r="AE99" s="624">
        <f>X99-U99+AD99</f>
        <v>100.24549999999999</v>
      </c>
      <c r="AF99" s="856">
        <f>2*AE99</f>
        <v>200.49099999999999</v>
      </c>
      <c r="AG99" s="947">
        <f>AF99+(23)</f>
        <v>223.49099999999999</v>
      </c>
      <c r="AH99" s="659">
        <f>AG99-I99</f>
        <v>129.12199999999996</v>
      </c>
      <c r="AI99" s="1475" t="s">
        <v>764</v>
      </c>
      <c r="AJ99" s="1262">
        <v>96</v>
      </c>
      <c r="AK99" s="1352">
        <f>(2*AJ99)+(2*71)+(2*45)</f>
        <v>424</v>
      </c>
      <c r="AL99" s="1352">
        <f>S99-AK99</f>
        <v>418</v>
      </c>
      <c r="AM99" s="623">
        <v>31</v>
      </c>
      <c r="AN99" s="373">
        <f>(154)+(23)+AM99</f>
        <v>208</v>
      </c>
      <c r="AO99" s="274">
        <f>Z99-AN99</f>
        <v>13</v>
      </c>
      <c r="AP99" s="1063"/>
      <c r="AQ99" s="949" t="s">
        <v>833</v>
      </c>
      <c r="AR99" s="276">
        <f>H99</f>
        <v>171.58</v>
      </c>
      <c r="AS99" s="261">
        <f>Z99</f>
        <v>221</v>
      </c>
      <c r="AT99" s="261">
        <f>AN99</f>
        <v>208</v>
      </c>
      <c r="AU99" s="804">
        <f>S99-G99</f>
        <v>71.500000000000114</v>
      </c>
      <c r="AV99" s="343">
        <f>S99-AK99</f>
        <v>418</v>
      </c>
      <c r="AW99" s="946"/>
      <c r="BC99" s="32"/>
      <c r="BD99" s="1158">
        <f>B99</f>
        <v>32</v>
      </c>
      <c r="BE99" s="32"/>
      <c r="BH99" s="135"/>
    </row>
    <row r="100" spans="1:63" s="945" customFormat="1" ht="16" customHeight="1">
      <c r="A100" s="936">
        <f t="shared" ref="A100:B103" si="99">A99+1</f>
        <v>34</v>
      </c>
      <c r="B100" s="952">
        <f t="shared" si="99"/>
        <v>33</v>
      </c>
      <c r="C100" s="752" t="s">
        <v>697</v>
      </c>
      <c r="D100" s="1263">
        <v>372</v>
      </c>
      <c r="E100" s="1475">
        <f t="shared" ref="E100:E103" si="100">2*D100</f>
        <v>744</v>
      </c>
      <c r="F100" s="1476">
        <f>2*(331)</f>
        <v>662</v>
      </c>
      <c r="G100" s="672">
        <f t="shared" si="96"/>
        <v>761.3</v>
      </c>
      <c r="H100" s="274">
        <f t="shared" si="97"/>
        <v>171.12</v>
      </c>
      <c r="I100" s="273">
        <f t="shared" si="98"/>
        <v>94.116000000000014</v>
      </c>
      <c r="J100" s="1069">
        <v>200</v>
      </c>
      <c r="K100" s="1069">
        <v>15</v>
      </c>
      <c r="L100" s="1069">
        <v>124</v>
      </c>
      <c r="M100" s="1069" t="s">
        <v>680</v>
      </c>
      <c r="N100" s="1069" t="s">
        <v>680</v>
      </c>
      <c r="O100" s="945" t="s">
        <v>680</v>
      </c>
      <c r="P100" s="945" t="s">
        <v>680</v>
      </c>
      <c r="Q100" s="656">
        <f t="shared" ref="Q100:Q103" si="101">SUM(J100:P100)</f>
        <v>339</v>
      </c>
      <c r="R100" s="610">
        <f t="shared" ref="R100:R103" si="102">2*Q100</f>
        <v>678</v>
      </c>
      <c r="S100" s="747">
        <f t="shared" ref="S100:S103" si="103">R100+(2*71)</f>
        <v>820</v>
      </c>
      <c r="T100" s="1479">
        <v>10</v>
      </c>
      <c r="U100" s="1479">
        <v>90</v>
      </c>
      <c r="V100" s="1480" t="s">
        <v>680</v>
      </c>
      <c r="W100" s="1480" t="s">
        <v>680</v>
      </c>
      <c r="X100" s="666">
        <f t="shared" ref="X100:X103" si="104">SUM(T100:W100)</f>
        <v>100</v>
      </c>
      <c r="Y100" s="524">
        <f t="shared" ref="Y100:Y103" si="105">2*X100</f>
        <v>200</v>
      </c>
      <c r="Z100" s="527">
        <f t="shared" ref="Z100:Z103" si="106">Y100+(23)</f>
        <v>223</v>
      </c>
      <c r="AA100" s="655">
        <f t="shared" ref="AA100:AA103" si="107">Z100-H100</f>
        <v>51.879999999999995</v>
      </c>
      <c r="AB100" s="653">
        <f t="shared" ref="AB100:AB103" si="108">Z100-I100</f>
        <v>128.88399999999999</v>
      </c>
      <c r="AC100" s="948">
        <v>320</v>
      </c>
      <c r="AD100" s="624">
        <f>(33.89)+(AC100*0.2095)</f>
        <v>100.92999999999999</v>
      </c>
      <c r="AE100" s="624">
        <f>X100-U100+AD100</f>
        <v>110.92999999999999</v>
      </c>
      <c r="AF100" s="856">
        <f t="shared" ref="AF100:AF103" si="109">2*AE100</f>
        <v>221.85999999999999</v>
      </c>
      <c r="AG100" s="947">
        <f t="shared" ref="AG100:AG103" si="110">AF100+(23)</f>
        <v>244.85999999999999</v>
      </c>
      <c r="AH100" s="659">
        <f>AG100-I100</f>
        <v>150.74399999999997</v>
      </c>
      <c r="AI100" s="1475" t="s">
        <v>781</v>
      </c>
      <c r="AJ100" s="1262">
        <v>263</v>
      </c>
      <c r="AK100" s="1352">
        <f>(2*AJ100)+(2*71)+(2*45)</f>
        <v>758</v>
      </c>
      <c r="AL100" s="1352">
        <f>S100-AK100</f>
        <v>62</v>
      </c>
      <c r="AM100" s="624" t="s">
        <v>13</v>
      </c>
      <c r="AN100" s="373">
        <f>(181)+(23)</f>
        <v>204</v>
      </c>
      <c r="AO100" s="274">
        <f>Z100-AN100</f>
        <v>19</v>
      </c>
      <c r="AP100" s="1063"/>
      <c r="AQ100" s="752" t="s">
        <v>1205</v>
      </c>
      <c r="AR100" s="276">
        <f>H100</f>
        <v>171.12</v>
      </c>
      <c r="AS100" s="261">
        <f>Z100</f>
        <v>223</v>
      </c>
      <c r="AT100" s="261">
        <f t="shared" ref="AT100:AT103" si="111">AN100</f>
        <v>204</v>
      </c>
      <c r="AU100" s="804">
        <f>S100-G100</f>
        <v>58.700000000000045</v>
      </c>
      <c r="AV100" s="343">
        <f>S100-AK100</f>
        <v>62</v>
      </c>
      <c r="AW100" s="946"/>
      <c r="BC100" s="32"/>
      <c r="BD100" s="1158">
        <f t="shared" ref="BD100:BD103" si="112">B100</f>
        <v>33</v>
      </c>
      <c r="BE100" s="32"/>
    </row>
    <row r="101" spans="1:63" s="945" customFormat="1" ht="16" customHeight="1">
      <c r="A101" s="936">
        <f t="shared" si="99"/>
        <v>35</v>
      </c>
      <c r="B101" s="952">
        <f t="shared" si="99"/>
        <v>34</v>
      </c>
      <c r="C101" s="950" t="s">
        <v>1055</v>
      </c>
      <c r="D101" s="1477">
        <v>386</v>
      </c>
      <c r="E101" s="1475">
        <f t="shared" si="100"/>
        <v>772</v>
      </c>
      <c r="F101" s="1476">
        <f>2*(348)</f>
        <v>696</v>
      </c>
      <c r="G101" s="672">
        <f t="shared" si="96"/>
        <v>800.4</v>
      </c>
      <c r="H101" s="274">
        <f t="shared" si="97"/>
        <v>177.56</v>
      </c>
      <c r="I101" s="273">
        <f t="shared" si="98"/>
        <v>97.658000000000015</v>
      </c>
      <c r="J101" s="1069">
        <v>200</v>
      </c>
      <c r="K101" s="1069">
        <v>15</v>
      </c>
      <c r="L101" s="1069">
        <v>142</v>
      </c>
      <c r="M101" s="1069" t="s">
        <v>680</v>
      </c>
      <c r="N101" s="1069" t="s">
        <v>680</v>
      </c>
      <c r="O101" s="945" t="s">
        <v>680</v>
      </c>
      <c r="P101" s="945" t="s">
        <v>680</v>
      </c>
      <c r="Q101" s="656">
        <f t="shared" si="101"/>
        <v>357</v>
      </c>
      <c r="R101" s="610">
        <f t="shared" si="102"/>
        <v>714</v>
      </c>
      <c r="S101" s="747">
        <f t="shared" si="103"/>
        <v>856</v>
      </c>
      <c r="T101" s="1479">
        <v>10</v>
      </c>
      <c r="U101" s="1479">
        <v>93</v>
      </c>
      <c r="V101" s="1480" t="s">
        <v>680</v>
      </c>
      <c r="W101" s="1480" t="s">
        <v>680</v>
      </c>
      <c r="X101" s="666">
        <f t="shared" si="104"/>
        <v>103</v>
      </c>
      <c r="Y101" s="524">
        <f t="shared" si="105"/>
        <v>206</v>
      </c>
      <c r="Z101" s="527">
        <f t="shared" si="106"/>
        <v>229</v>
      </c>
      <c r="AA101" s="655">
        <f t="shared" si="107"/>
        <v>51.44</v>
      </c>
      <c r="AB101" s="653">
        <f t="shared" si="108"/>
        <v>131.34199999999998</v>
      </c>
      <c r="AC101" s="948">
        <v>326</v>
      </c>
      <c r="AD101" s="624">
        <f>(33.89)+(AC101*0.2095)</f>
        <v>102.187</v>
      </c>
      <c r="AE101" s="624">
        <f>X101-U101+AD101</f>
        <v>112.187</v>
      </c>
      <c r="AF101" s="856">
        <f t="shared" si="109"/>
        <v>224.374</v>
      </c>
      <c r="AG101" s="947">
        <f t="shared" si="110"/>
        <v>247.374</v>
      </c>
      <c r="AH101" s="659">
        <f>AG101-I101</f>
        <v>149.71599999999998</v>
      </c>
      <c r="AI101" s="1475" t="s">
        <v>764</v>
      </c>
      <c r="AJ101" s="672">
        <v>96</v>
      </c>
      <c r="AK101" s="1352">
        <f>(2*AJ101)+(2*71)+(2*45)</f>
        <v>424</v>
      </c>
      <c r="AL101" s="672">
        <f>S101-AK101</f>
        <v>432</v>
      </c>
      <c r="AM101" s="624" t="s">
        <v>13</v>
      </c>
      <c r="AN101" s="373">
        <f>154+(23)</f>
        <v>177</v>
      </c>
      <c r="AO101" s="274">
        <f>Z101-AN101</f>
        <v>52</v>
      </c>
      <c r="AP101" s="1063"/>
      <c r="AQ101" s="950" t="s">
        <v>755</v>
      </c>
      <c r="AR101" s="276">
        <f>H101</f>
        <v>177.56</v>
      </c>
      <c r="AS101" s="261">
        <f>Z101</f>
        <v>229</v>
      </c>
      <c r="AT101" s="261">
        <f t="shared" si="111"/>
        <v>177</v>
      </c>
      <c r="AU101" s="804">
        <f>S101-G101</f>
        <v>55.600000000000023</v>
      </c>
      <c r="AV101" s="343">
        <f>S101-AK101</f>
        <v>432</v>
      </c>
      <c r="BC101" s="32"/>
      <c r="BD101" s="1158">
        <f t="shared" si="112"/>
        <v>34</v>
      </c>
      <c r="BE101" s="32"/>
    </row>
    <row r="102" spans="1:63" s="945" customFormat="1" ht="16" customHeight="1">
      <c r="A102" s="936">
        <f t="shared" si="99"/>
        <v>36</v>
      </c>
      <c r="B102" s="952">
        <f t="shared" si="99"/>
        <v>35</v>
      </c>
      <c r="C102" s="950" t="s">
        <v>687</v>
      </c>
      <c r="D102" s="968">
        <v>406</v>
      </c>
      <c r="E102" s="1475">
        <f t="shared" si="100"/>
        <v>812</v>
      </c>
      <c r="F102" s="1476">
        <f>2*(365)</f>
        <v>730</v>
      </c>
      <c r="G102" s="672">
        <f t="shared" si="96"/>
        <v>839.49999999999989</v>
      </c>
      <c r="H102" s="274">
        <f t="shared" si="97"/>
        <v>186.76000000000002</v>
      </c>
      <c r="I102" s="273">
        <f t="shared" si="98"/>
        <v>102.71800000000002</v>
      </c>
      <c r="J102" s="1069">
        <v>200</v>
      </c>
      <c r="K102" s="1069">
        <v>15</v>
      </c>
      <c r="L102" s="1069">
        <v>187</v>
      </c>
      <c r="M102" s="1069" t="s">
        <v>680</v>
      </c>
      <c r="N102" s="1069" t="s">
        <v>680</v>
      </c>
      <c r="O102" s="945" t="s">
        <v>680</v>
      </c>
      <c r="P102" s="945" t="s">
        <v>680</v>
      </c>
      <c r="Q102" s="656">
        <f t="shared" si="101"/>
        <v>402</v>
      </c>
      <c r="R102" s="610">
        <f t="shared" si="102"/>
        <v>804</v>
      </c>
      <c r="S102" s="747">
        <f t="shared" si="103"/>
        <v>946</v>
      </c>
      <c r="T102" s="1479">
        <v>10</v>
      </c>
      <c r="U102" s="1479">
        <v>93</v>
      </c>
      <c r="V102" s="1480" t="s">
        <v>680</v>
      </c>
      <c r="W102" s="1480" t="s">
        <v>680</v>
      </c>
      <c r="X102" s="666">
        <f t="shared" si="104"/>
        <v>103</v>
      </c>
      <c r="Y102" s="524">
        <f t="shared" si="105"/>
        <v>206</v>
      </c>
      <c r="Z102" s="527">
        <f t="shared" si="106"/>
        <v>229</v>
      </c>
      <c r="AA102" s="655">
        <f t="shared" si="107"/>
        <v>42.239999999999981</v>
      </c>
      <c r="AB102" s="653">
        <f t="shared" si="108"/>
        <v>126.28199999999998</v>
      </c>
      <c r="AC102" s="948">
        <v>341</v>
      </c>
      <c r="AD102" s="624">
        <f>(33.89)+(AC102*0.2095)</f>
        <v>105.3295</v>
      </c>
      <c r="AE102" s="624">
        <f>X102-U102+AD102</f>
        <v>115.3295</v>
      </c>
      <c r="AF102" s="856">
        <f t="shared" si="109"/>
        <v>230.65899999999999</v>
      </c>
      <c r="AG102" s="947">
        <f t="shared" si="110"/>
        <v>253.65899999999999</v>
      </c>
      <c r="AH102" s="659">
        <f>AG102-I102</f>
        <v>150.94099999999997</v>
      </c>
      <c r="AI102" s="1475" t="s">
        <v>764</v>
      </c>
      <c r="AJ102" s="1262">
        <v>96</v>
      </c>
      <c r="AK102" s="1352">
        <f>(2*AJ102)+(2*71)+(2*45)</f>
        <v>424</v>
      </c>
      <c r="AL102" s="1352">
        <f>S102-AK102</f>
        <v>522</v>
      </c>
      <c r="AM102" s="623">
        <v>15</v>
      </c>
      <c r="AN102" s="373">
        <f>(154)+(23)+AM102</f>
        <v>192</v>
      </c>
      <c r="AO102" s="274">
        <f>Z102-AN102</f>
        <v>37</v>
      </c>
      <c r="AP102" s="1063"/>
      <c r="AQ102" s="950" t="s">
        <v>756</v>
      </c>
      <c r="AR102" s="276">
        <f>H102</f>
        <v>186.76000000000002</v>
      </c>
      <c r="AS102" s="261">
        <f>Z102</f>
        <v>229</v>
      </c>
      <c r="AT102" s="261">
        <f t="shared" si="111"/>
        <v>192</v>
      </c>
      <c r="AU102" s="804">
        <f>S102-G102</f>
        <v>106.50000000000011</v>
      </c>
      <c r="AV102" s="343">
        <f>S102-AK102</f>
        <v>522</v>
      </c>
      <c r="AW102" s="946"/>
      <c r="BC102" s="32"/>
      <c r="BD102" s="1158">
        <f t="shared" si="112"/>
        <v>35</v>
      </c>
      <c r="BE102" s="32"/>
      <c r="BH102" s="135"/>
    </row>
    <row r="103" spans="1:63" s="945" customFormat="1" ht="16" customHeight="1">
      <c r="A103" s="936">
        <f t="shared" si="99"/>
        <v>37</v>
      </c>
      <c r="B103" s="952">
        <f t="shared" si="99"/>
        <v>36</v>
      </c>
      <c r="C103" s="951" t="s">
        <v>577</v>
      </c>
      <c r="D103" s="968">
        <v>415</v>
      </c>
      <c r="E103" s="1475">
        <f t="shared" si="100"/>
        <v>830</v>
      </c>
      <c r="F103" s="1476">
        <f>2*(372)</f>
        <v>744</v>
      </c>
      <c r="G103" s="672">
        <f t="shared" si="96"/>
        <v>855.59999999999991</v>
      </c>
      <c r="H103" s="274">
        <f t="shared" si="97"/>
        <v>190.9</v>
      </c>
      <c r="I103" s="273">
        <f t="shared" si="98"/>
        <v>104.995</v>
      </c>
      <c r="J103" s="1069">
        <v>200</v>
      </c>
      <c r="K103" s="1069">
        <v>15</v>
      </c>
      <c r="L103" s="1069">
        <v>200</v>
      </c>
      <c r="M103" s="1069" t="s">
        <v>680</v>
      </c>
      <c r="N103" s="1069" t="s">
        <v>680</v>
      </c>
      <c r="O103" s="945" t="s">
        <v>680</v>
      </c>
      <c r="P103" s="945" t="s">
        <v>680</v>
      </c>
      <c r="Q103" s="656">
        <f t="shared" si="101"/>
        <v>415</v>
      </c>
      <c r="R103" s="610">
        <f t="shared" si="102"/>
        <v>830</v>
      </c>
      <c r="S103" s="747">
        <f t="shared" si="103"/>
        <v>972</v>
      </c>
      <c r="T103" s="1479">
        <v>10</v>
      </c>
      <c r="U103" s="1479">
        <v>93</v>
      </c>
      <c r="V103" s="1480" t="s">
        <v>680</v>
      </c>
      <c r="W103" s="1480" t="s">
        <v>680</v>
      </c>
      <c r="X103" s="666">
        <f t="shared" si="104"/>
        <v>103</v>
      </c>
      <c r="Y103" s="524">
        <f t="shared" si="105"/>
        <v>206</v>
      </c>
      <c r="Z103" s="527">
        <f t="shared" si="106"/>
        <v>229</v>
      </c>
      <c r="AA103" s="655">
        <f t="shared" si="107"/>
        <v>38.099999999999994</v>
      </c>
      <c r="AB103" s="653">
        <f t="shared" si="108"/>
        <v>124.005</v>
      </c>
      <c r="AC103" s="948">
        <v>353</v>
      </c>
      <c r="AD103" s="624">
        <f t="shared" ref="AD103" si="113">(33.89)+(AC103*0.2095)</f>
        <v>107.84349999999999</v>
      </c>
      <c r="AE103" s="624">
        <f>X103-U103+AD103</f>
        <v>117.84349999999999</v>
      </c>
      <c r="AF103" s="856">
        <f t="shared" si="109"/>
        <v>235.68699999999998</v>
      </c>
      <c r="AG103" s="947">
        <f t="shared" si="110"/>
        <v>258.68700000000001</v>
      </c>
      <c r="AH103" s="659">
        <f>AG103-I103</f>
        <v>153.69200000000001</v>
      </c>
      <c r="AI103" s="1475" t="s">
        <v>764</v>
      </c>
      <c r="AJ103" s="1262">
        <v>96</v>
      </c>
      <c r="AK103" s="672">
        <f>(2*AJ103)+(2*71)+(2*45)</f>
        <v>424</v>
      </c>
      <c r="AL103" s="672">
        <f>S103-AK103</f>
        <v>548</v>
      </c>
      <c r="AM103" s="624">
        <v>15</v>
      </c>
      <c r="AN103" s="373">
        <f>(154)+(23)+AM103</f>
        <v>192</v>
      </c>
      <c r="AO103" s="274">
        <f>Z103-AN103</f>
        <v>37</v>
      </c>
      <c r="AP103" s="1063"/>
      <c r="AQ103" s="951" t="s">
        <v>757</v>
      </c>
      <c r="AR103" s="276">
        <f>H103</f>
        <v>190.9</v>
      </c>
      <c r="AS103" s="261">
        <f>Z103</f>
        <v>229</v>
      </c>
      <c r="AT103" s="261">
        <f t="shared" si="111"/>
        <v>192</v>
      </c>
      <c r="AU103" s="804">
        <f>S103-G103</f>
        <v>116.40000000000009</v>
      </c>
      <c r="AV103" s="343">
        <f>S103-AK103</f>
        <v>548</v>
      </c>
      <c r="AW103" s="946"/>
      <c r="BC103" s="32"/>
      <c r="BD103" s="1158">
        <f t="shared" si="112"/>
        <v>36</v>
      </c>
      <c r="BE103" s="32"/>
      <c r="BH103" s="135"/>
    </row>
    <row r="104" spans="1:63" ht="304" customHeight="1">
      <c r="D104" s="1819" t="s">
        <v>1056</v>
      </c>
      <c r="E104" s="1911"/>
      <c r="F104" s="1460" t="s">
        <v>1030</v>
      </c>
      <c r="G104" s="1408" t="s">
        <v>1031</v>
      </c>
      <c r="H104" s="1461" t="s">
        <v>540</v>
      </c>
      <c r="I104" s="1029"/>
      <c r="J104" s="1464" t="s">
        <v>1059</v>
      </c>
      <c r="K104" s="1464" t="s">
        <v>1060</v>
      </c>
      <c r="L104" s="1478" t="s">
        <v>1062</v>
      </c>
      <c r="M104" s="1004"/>
      <c r="N104" s="1071"/>
      <c r="R104" s="26"/>
      <c r="S104" s="1463" t="s">
        <v>1052</v>
      </c>
      <c r="T104" s="1393" t="s">
        <v>1063</v>
      </c>
      <c r="U104" s="1350" t="s">
        <v>999</v>
      </c>
      <c r="Y104" s="26"/>
      <c r="Z104" s="553" t="s">
        <v>1051</v>
      </c>
      <c r="AA104" s="14"/>
      <c r="AB104" s="1351" t="s">
        <v>541</v>
      </c>
      <c r="AC104" s="1377" t="s">
        <v>686</v>
      </c>
      <c r="AD104" s="1452" t="s">
        <v>1064</v>
      </c>
      <c r="AE104" s="140"/>
      <c r="AF104" s="26"/>
      <c r="AG104" s="553" t="s">
        <v>1051</v>
      </c>
      <c r="AH104" s="162"/>
      <c r="AI104" s="27"/>
      <c r="AJ104" s="1371" t="s">
        <v>1150</v>
      </c>
      <c r="AK104" s="27"/>
      <c r="AL104" s="128"/>
      <c r="AM104" s="128"/>
      <c r="AN104" s="1411" t="s">
        <v>1054</v>
      </c>
      <c r="AV104" s="126"/>
      <c r="AW104" s="126"/>
    </row>
    <row r="105" spans="1:63" ht="16" customHeight="1">
      <c r="D105" s="944"/>
      <c r="E105" s="944"/>
      <c r="AC105" s="22"/>
      <c r="AD105" s="22"/>
      <c r="AE105" s="22"/>
      <c r="AV105" s="126"/>
      <c r="AW105" s="126"/>
    </row>
    <row r="106" spans="1:63" ht="16" customHeight="1">
      <c r="D106" s="944"/>
      <c r="E106" s="944"/>
      <c r="AC106" s="22"/>
      <c r="AD106" s="22"/>
      <c r="AE106" s="22"/>
      <c r="AV106" s="126"/>
      <c r="AW106" s="126"/>
    </row>
    <row r="107" spans="1:63" ht="35" customHeight="1">
      <c r="B107" s="932" t="s">
        <v>26</v>
      </c>
      <c r="C107" s="1572" t="s">
        <v>35</v>
      </c>
      <c r="D107" s="1988" t="s">
        <v>2</v>
      </c>
      <c r="E107" s="1988"/>
      <c r="F107" s="1988"/>
      <c r="G107" s="1988"/>
      <c r="H107" s="1988"/>
      <c r="I107" s="1989"/>
      <c r="J107" s="1983" t="s">
        <v>645</v>
      </c>
      <c r="K107" s="1984"/>
      <c r="L107" s="1985"/>
      <c r="M107" s="1985"/>
      <c r="N107" s="1985"/>
      <c r="O107" s="1985"/>
      <c r="P107" s="1986"/>
      <c r="Q107" s="1985"/>
      <c r="R107" s="1991" t="s">
        <v>646</v>
      </c>
      <c r="S107" s="1992"/>
      <c r="T107" s="1786" t="s">
        <v>664</v>
      </c>
      <c r="U107" s="1787"/>
      <c r="V107" s="1787"/>
      <c r="W107" s="1787"/>
      <c r="X107" s="1787"/>
      <c r="Y107" s="1993" t="s">
        <v>648</v>
      </c>
      <c r="Z107" s="1994"/>
      <c r="AA107" s="178"/>
      <c r="AB107" s="178"/>
      <c r="AC107" s="1922" t="s">
        <v>162</v>
      </c>
      <c r="AD107" s="1923"/>
      <c r="AE107" s="1923"/>
      <c r="AF107" s="1926" t="s">
        <v>649</v>
      </c>
      <c r="AG107" s="1990"/>
      <c r="AH107" s="1173"/>
      <c r="AI107" s="1944" t="s">
        <v>167</v>
      </c>
      <c r="AJ107" s="1945"/>
      <c r="AK107" s="1945"/>
      <c r="AL107" s="1945"/>
      <c r="AM107" s="1945"/>
      <c r="AN107" s="1946"/>
      <c r="AO107" s="244"/>
      <c r="AP107" s="1053"/>
    </row>
    <row r="108" spans="1:63">
      <c r="C108" s="505"/>
      <c r="D108" s="226">
        <v>1</v>
      </c>
      <c r="E108" s="230">
        <f>D108+1</f>
        <v>2</v>
      </c>
      <c r="F108" s="230">
        <f t="shared" ref="F108:R108" si="114">E108+1</f>
        <v>3</v>
      </c>
      <c r="G108" s="230">
        <f t="shared" si="114"/>
        <v>4</v>
      </c>
      <c r="H108" s="230">
        <f t="shared" si="114"/>
        <v>5</v>
      </c>
      <c r="I108" s="228">
        <f t="shared" si="114"/>
        <v>6</v>
      </c>
      <c r="J108" s="226">
        <f t="shared" si="114"/>
        <v>7</v>
      </c>
      <c r="K108" s="230">
        <f t="shared" si="114"/>
        <v>8</v>
      </c>
      <c r="L108" s="230">
        <f t="shared" si="114"/>
        <v>9</v>
      </c>
      <c r="M108" s="230">
        <f t="shared" si="114"/>
        <v>10</v>
      </c>
      <c r="N108" s="230">
        <f t="shared" si="114"/>
        <v>11</v>
      </c>
      <c r="O108" s="230">
        <f t="shared" si="114"/>
        <v>12</v>
      </c>
      <c r="P108" s="230">
        <f t="shared" si="114"/>
        <v>13</v>
      </c>
      <c r="Q108" s="228">
        <f t="shared" si="114"/>
        <v>14</v>
      </c>
      <c r="R108" s="226">
        <f t="shared" si="114"/>
        <v>15</v>
      </c>
      <c r="S108" s="228">
        <v>16</v>
      </c>
      <c r="T108" s="226">
        <v>17</v>
      </c>
      <c r="U108" s="230">
        <v>18</v>
      </c>
      <c r="V108" s="230">
        <f>U108+1</f>
        <v>19</v>
      </c>
      <c r="W108" s="230">
        <f>V108+1</f>
        <v>20</v>
      </c>
      <c r="X108" s="230">
        <f>W108+1</f>
        <v>21</v>
      </c>
      <c r="Y108" s="1041">
        <f>X108+1</f>
        <v>22</v>
      </c>
      <c r="Z108" s="1042">
        <f>Y108+1</f>
        <v>23</v>
      </c>
      <c r="AA108" s="226">
        <f t="shared" ref="AA108:AO108" si="115">Z108+1</f>
        <v>24</v>
      </c>
      <c r="AB108" s="228">
        <f t="shared" si="115"/>
        <v>25</v>
      </c>
      <c r="AC108" s="226">
        <f t="shared" si="115"/>
        <v>26</v>
      </c>
      <c r="AD108" s="230">
        <f t="shared" si="115"/>
        <v>27</v>
      </c>
      <c r="AE108" s="228">
        <f t="shared" si="115"/>
        <v>28</v>
      </c>
      <c r="AF108" s="1041">
        <f t="shared" si="115"/>
        <v>29</v>
      </c>
      <c r="AG108" s="245">
        <f t="shared" si="115"/>
        <v>30</v>
      </c>
      <c r="AH108" s="1174">
        <f>AG108+1</f>
        <v>31</v>
      </c>
      <c r="AI108" s="109">
        <f>AH108+1</f>
        <v>32</v>
      </c>
      <c r="AJ108" s="50">
        <f>AI108+1</f>
        <v>33</v>
      </c>
      <c r="AK108" s="230">
        <f t="shared" si="115"/>
        <v>34</v>
      </c>
      <c r="AL108" s="230">
        <f t="shared" si="115"/>
        <v>35</v>
      </c>
      <c r="AM108" s="50">
        <f>AL108+1</f>
        <v>36</v>
      </c>
      <c r="AN108" s="110">
        <f>AM108+1</f>
        <v>37</v>
      </c>
      <c r="AO108" s="226">
        <f t="shared" si="115"/>
        <v>38</v>
      </c>
      <c r="AP108" s="1064"/>
      <c r="AQ108" s="93"/>
      <c r="AR108" s="93"/>
      <c r="AS108" s="586"/>
      <c r="AT108" s="108"/>
      <c r="AU108" s="125"/>
      <c r="AV108" s="93"/>
      <c r="AW108" s="93"/>
      <c r="AX108" s="93"/>
      <c r="AY108" s="93"/>
      <c r="AZ108" s="93"/>
      <c r="BA108" s="93"/>
      <c r="BB108" s="93"/>
      <c r="BC108" s="134"/>
      <c r="BD108" s="134"/>
      <c r="BE108" s="134"/>
      <c r="BF108" s="93"/>
      <c r="BG108" s="93"/>
      <c r="BH108" s="93"/>
      <c r="BI108" s="93"/>
      <c r="BJ108" s="93"/>
      <c r="BK108" s="93"/>
    </row>
    <row r="109" spans="1:63" ht="130" customHeight="1">
      <c r="C109" s="1311" t="s">
        <v>1073</v>
      </c>
      <c r="D109" s="1484" t="s">
        <v>399</v>
      </c>
      <c r="E109" s="1534" t="s">
        <v>400</v>
      </c>
      <c r="F109" s="1485" t="s">
        <v>246</v>
      </c>
      <c r="G109" s="1240" t="s">
        <v>234</v>
      </c>
      <c r="H109" s="805" t="s">
        <v>1028</v>
      </c>
      <c r="I109" s="1002" t="s">
        <v>248</v>
      </c>
      <c r="J109" s="1240" t="s">
        <v>401</v>
      </c>
      <c r="K109" s="1240" t="s">
        <v>402</v>
      </c>
      <c r="L109" s="1240" t="s">
        <v>1070</v>
      </c>
      <c r="M109" s="1240" t="s">
        <v>403</v>
      </c>
      <c r="N109" s="1240" t="s">
        <v>378</v>
      </c>
      <c r="O109" s="1240" t="s">
        <v>254</v>
      </c>
      <c r="P109" s="1240" t="s">
        <v>404</v>
      </c>
      <c r="Q109" s="1405" t="s">
        <v>256</v>
      </c>
      <c r="R109" s="602" t="s">
        <v>383</v>
      </c>
      <c r="S109" s="457" t="s">
        <v>384</v>
      </c>
      <c r="T109" s="1013" t="s">
        <v>405</v>
      </c>
      <c r="U109" s="1010" t="s">
        <v>406</v>
      </c>
      <c r="V109" s="1010" t="s">
        <v>407</v>
      </c>
      <c r="W109" s="872" t="s">
        <v>261</v>
      </c>
      <c r="X109" s="1020" t="s">
        <v>367</v>
      </c>
      <c r="Y109" s="523" t="s">
        <v>995</v>
      </c>
      <c r="Z109" s="599" t="s">
        <v>996</v>
      </c>
      <c r="AA109" s="1010" t="s">
        <v>265</v>
      </c>
      <c r="AB109" s="1010" t="s">
        <v>266</v>
      </c>
      <c r="AC109" s="1239" t="s">
        <v>408</v>
      </c>
      <c r="AD109" s="872" t="s">
        <v>369</v>
      </c>
      <c r="AE109" s="1010" t="s">
        <v>269</v>
      </c>
      <c r="AF109" s="605" t="s">
        <v>350</v>
      </c>
      <c r="AG109" s="437" t="s">
        <v>270</v>
      </c>
      <c r="AH109" s="1087" t="s">
        <v>271</v>
      </c>
      <c r="AI109" s="1239" t="s">
        <v>808</v>
      </c>
      <c r="AJ109" s="1264" t="s">
        <v>809</v>
      </c>
      <c r="AK109" s="1364" t="s">
        <v>14</v>
      </c>
      <c r="AL109" s="1236" t="s">
        <v>1</v>
      </c>
      <c r="AM109" s="1010" t="s">
        <v>810</v>
      </c>
      <c r="AN109" s="1020" t="s">
        <v>746</v>
      </c>
      <c r="AO109" s="239" t="s">
        <v>272</v>
      </c>
      <c r="AP109" s="1053"/>
      <c r="AQ109" s="1311" t="s">
        <v>1073</v>
      </c>
      <c r="AR109" s="805" t="s">
        <v>357</v>
      </c>
      <c r="AS109" s="988" t="s">
        <v>273</v>
      </c>
      <c r="AT109" s="805" t="s">
        <v>746</v>
      </c>
      <c r="AU109" s="1008" t="s">
        <v>811</v>
      </c>
      <c r="AV109" s="1008" t="s">
        <v>745</v>
      </c>
      <c r="AX109" s="138"/>
      <c r="AY109" s="48"/>
      <c r="AZ109" s="106"/>
      <c r="BA109" s="151"/>
      <c r="BC109" s="153"/>
      <c r="BD109" s="1149" t="s">
        <v>822</v>
      </c>
      <c r="BE109" s="1112"/>
      <c r="BF109" s="1114"/>
    </row>
    <row r="110" spans="1:63" s="180" customFormat="1">
      <c r="A110" s="896">
        <f>A103+1</f>
        <v>38</v>
      </c>
      <c r="B110" s="888">
        <v>1</v>
      </c>
      <c r="C110" s="342" t="s">
        <v>621</v>
      </c>
      <c r="D110" s="967">
        <v>232</v>
      </c>
      <c r="E110" s="1237">
        <f t="shared" ref="E110:E114" si="116">(2*D110)</f>
        <v>464</v>
      </c>
      <c r="F110" s="862">
        <f>(2*275)</f>
        <v>550</v>
      </c>
      <c r="G110" s="656">
        <f t="shared" ref="G110:G114" si="117">F110*1.15</f>
        <v>632.5</v>
      </c>
      <c r="H110" s="624">
        <f>(E110*0.23)</f>
        <v>106.72</v>
      </c>
      <c r="I110" s="624">
        <f t="shared" ref="I110:I114" si="118">0.5*(H110*1.1)</f>
        <v>58.696000000000005</v>
      </c>
      <c r="J110" s="613">
        <v>176</v>
      </c>
      <c r="K110" s="656">
        <v>30</v>
      </c>
      <c r="L110" s="656">
        <f>142-70</f>
        <v>72</v>
      </c>
      <c r="M110" s="656" t="s">
        <v>154</v>
      </c>
      <c r="N110" s="656" t="s">
        <v>154</v>
      </c>
      <c r="O110" s="656" t="s">
        <v>154</v>
      </c>
      <c r="P110" s="656" t="s">
        <v>154</v>
      </c>
      <c r="Q110" s="656">
        <f t="shared" ref="Q110:Q114" si="119">SUM(J110:P110)</f>
        <v>278</v>
      </c>
      <c r="R110" s="610">
        <f t="shared" ref="R110:R114" si="120">2*Q110</f>
        <v>556</v>
      </c>
      <c r="S110" s="611">
        <f t="shared" ref="S110:S114" si="121">R110+(2*71)</f>
        <v>698</v>
      </c>
      <c r="T110" s="644">
        <v>35.65</v>
      </c>
      <c r="U110" s="639">
        <v>59</v>
      </c>
      <c r="V110" s="648" t="s">
        <v>154</v>
      </c>
      <c r="W110" s="648" t="s">
        <v>154</v>
      </c>
      <c r="X110" s="624">
        <f t="shared" ref="X110:X114" si="122">SUM(T110:W110)</f>
        <v>94.65</v>
      </c>
      <c r="Y110" s="524">
        <f t="shared" ref="Y110:Y114" si="123">2*X110</f>
        <v>189.3</v>
      </c>
      <c r="Z110" s="525">
        <f>(Y110+(23))</f>
        <v>212.3</v>
      </c>
      <c r="AA110" s="624">
        <f t="shared" ref="AA110:AA114" si="124">Z110-H110</f>
        <v>105.58000000000001</v>
      </c>
      <c r="AB110" s="653">
        <f t="shared" ref="AB110:AB114" si="125">(Z110)-(I110)</f>
        <v>153.60400000000001</v>
      </c>
      <c r="AC110" s="663">
        <f>(187-27)</f>
        <v>160</v>
      </c>
      <c r="AD110" s="624">
        <f>(33.89)+(AC110*0.2095)</f>
        <v>67.41</v>
      </c>
      <c r="AE110" s="624">
        <f t="shared" ref="AE110:AE114" si="126">X110-U110+AD110</f>
        <v>103.06</v>
      </c>
      <c r="AF110" s="322">
        <f t="shared" ref="AF110:AF114" si="127">2*AE110</f>
        <v>206.12</v>
      </c>
      <c r="AG110" s="369">
        <f t="shared" ref="AG110:AG114" si="128">AF110+(23)</f>
        <v>229.12</v>
      </c>
      <c r="AH110" s="854">
        <f>AG110-I110</f>
        <v>170.42400000000001</v>
      </c>
      <c r="AI110" s="1263" t="s">
        <v>782</v>
      </c>
      <c r="AJ110" s="1262">
        <v>306</v>
      </c>
      <c r="AK110" s="1262">
        <f t="shared" ref="AK110:AK114" si="129">(2*AJ110)+(2*71)+(2*45)</f>
        <v>844</v>
      </c>
      <c r="AL110" s="1262">
        <f>S110-AK110</f>
        <v>-146</v>
      </c>
      <c r="AM110" s="624" t="s">
        <v>13</v>
      </c>
      <c r="AN110" s="273">
        <f>652+(23)</f>
        <v>675</v>
      </c>
      <c r="AO110" s="274">
        <f>Z110-AN110</f>
        <v>-462.7</v>
      </c>
      <c r="AP110" s="1055"/>
      <c r="AQ110" s="342" t="s">
        <v>70</v>
      </c>
      <c r="AR110" s="276">
        <f>H110</f>
        <v>106.72</v>
      </c>
      <c r="AS110" s="261">
        <f>Z110</f>
        <v>212.3</v>
      </c>
      <c r="AT110" s="261">
        <f>AN110</f>
        <v>675</v>
      </c>
      <c r="AU110" s="804">
        <f>S110-G110</f>
        <v>65.5</v>
      </c>
      <c r="AV110" s="343">
        <f>S110-AK110</f>
        <v>-146</v>
      </c>
      <c r="AX110" s="375"/>
      <c r="AY110" s="183"/>
      <c r="AZ110" s="376"/>
      <c r="BA110" s="377"/>
      <c r="BC110" s="384"/>
      <c r="BD110" s="1159">
        <f>B110</f>
        <v>1</v>
      </c>
      <c r="BE110" s="353"/>
      <c r="BF110" s="380"/>
    </row>
    <row r="111" spans="1:63" s="298" customFormat="1">
      <c r="A111" s="896">
        <f>A110+1</f>
        <v>39</v>
      </c>
      <c r="B111" s="889">
        <f>B103+1</f>
        <v>37</v>
      </c>
      <c r="C111" s="350" t="s">
        <v>1175</v>
      </c>
      <c r="D111" s="967">
        <v>312</v>
      </c>
      <c r="E111" s="656">
        <f t="shared" si="116"/>
        <v>624</v>
      </c>
      <c r="F111" s="656">
        <f>(2*340)</f>
        <v>680</v>
      </c>
      <c r="G111" s="656">
        <f t="shared" si="117"/>
        <v>781.99999999999989</v>
      </c>
      <c r="H111" s="624">
        <f t="shared" ref="H111:H114" si="130">(E111*0.23)</f>
        <v>143.52000000000001</v>
      </c>
      <c r="I111" s="624">
        <f t="shared" si="118"/>
        <v>78.936000000000007</v>
      </c>
      <c r="J111" s="613">
        <v>176</v>
      </c>
      <c r="K111" s="656">
        <v>30</v>
      </c>
      <c r="L111" s="656">
        <f>181-59</f>
        <v>122</v>
      </c>
      <c r="M111" s="656" t="s">
        <v>154</v>
      </c>
      <c r="N111" s="656" t="s">
        <v>154</v>
      </c>
      <c r="O111" s="656" t="s">
        <v>154</v>
      </c>
      <c r="P111" s="656" t="s">
        <v>154</v>
      </c>
      <c r="Q111" s="656">
        <f t="shared" si="119"/>
        <v>328</v>
      </c>
      <c r="R111" s="610">
        <f t="shared" si="120"/>
        <v>656</v>
      </c>
      <c r="S111" s="611">
        <f t="shared" si="121"/>
        <v>798</v>
      </c>
      <c r="T111" s="644">
        <v>35.65</v>
      </c>
      <c r="U111" s="639">
        <v>78</v>
      </c>
      <c r="V111" s="648" t="s">
        <v>154</v>
      </c>
      <c r="W111" s="648" t="s">
        <v>154</v>
      </c>
      <c r="X111" s="624">
        <f t="shared" si="122"/>
        <v>113.65</v>
      </c>
      <c r="Y111" s="524">
        <f t="shared" si="123"/>
        <v>227.3</v>
      </c>
      <c r="Z111" s="525">
        <f>(Y111+(23))</f>
        <v>250.3</v>
      </c>
      <c r="AA111" s="624">
        <f t="shared" si="124"/>
        <v>106.78</v>
      </c>
      <c r="AB111" s="653">
        <f t="shared" si="125"/>
        <v>171.364</v>
      </c>
      <c r="AC111" s="663">
        <f>(261-27)</f>
        <v>234</v>
      </c>
      <c r="AD111" s="624">
        <f t="shared" ref="AD111:AD114" si="131">(33.89)+(AC111*0.2095)</f>
        <v>82.912999999999997</v>
      </c>
      <c r="AE111" s="624">
        <f t="shared" si="126"/>
        <v>118.563</v>
      </c>
      <c r="AF111" s="322">
        <f t="shared" si="127"/>
        <v>237.126</v>
      </c>
      <c r="AG111" s="369">
        <f t="shared" si="128"/>
        <v>260.12599999999998</v>
      </c>
      <c r="AH111" s="1175">
        <f>AG111-I111</f>
        <v>181.18999999999997</v>
      </c>
      <c r="AI111" s="1263" t="s">
        <v>783</v>
      </c>
      <c r="AJ111" s="673">
        <v>74</v>
      </c>
      <c r="AK111" s="1262">
        <f t="shared" si="129"/>
        <v>380</v>
      </c>
      <c r="AL111" s="673">
        <f>S111-AK111</f>
        <v>418</v>
      </c>
      <c r="AM111" s="624">
        <v>15</v>
      </c>
      <c r="AN111" s="273">
        <f>198+(23)+AM111</f>
        <v>236</v>
      </c>
      <c r="AO111" s="274">
        <f>Z111-AN111</f>
        <v>14.300000000000011</v>
      </c>
      <c r="AP111" s="1055"/>
      <c r="AQ111" s="350" t="s">
        <v>104</v>
      </c>
      <c r="AR111" s="276">
        <f>H111</f>
        <v>143.52000000000001</v>
      </c>
      <c r="AS111" s="261">
        <f>Z111</f>
        <v>250.3</v>
      </c>
      <c r="AT111" s="261">
        <f t="shared" ref="AT111:AT114" si="132">AN111</f>
        <v>236</v>
      </c>
      <c r="AU111" s="804">
        <f>S111-G111</f>
        <v>16.000000000000114</v>
      </c>
      <c r="AV111" s="343">
        <f>S111-AK111</f>
        <v>418</v>
      </c>
      <c r="AX111" s="381"/>
      <c r="AY111" s="276"/>
      <c r="AZ111" s="382"/>
      <c r="BA111" s="383"/>
      <c r="BC111" s="384"/>
      <c r="BD111" s="1155">
        <f t="shared" ref="BD111:BD114" si="133">B111</f>
        <v>37</v>
      </c>
      <c r="BF111" s="372"/>
      <c r="BH111" s="978"/>
    </row>
    <row r="112" spans="1:63" s="298" customFormat="1">
      <c r="A112" s="896">
        <f>A111+1</f>
        <v>40</v>
      </c>
      <c r="B112" s="889">
        <f>B111+1</f>
        <v>38</v>
      </c>
      <c r="C112" s="342" t="s">
        <v>1176</v>
      </c>
      <c r="D112" s="607">
        <v>361</v>
      </c>
      <c r="E112" s="656">
        <f t="shared" si="116"/>
        <v>722</v>
      </c>
      <c r="F112" s="862">
        <f>2*380</f>
        <v>760</v>
      </c>
      <c r="G112" s="1307">
        <f>F112*1.15</f>
        <v>873.99999999999989</v>
      </c>
      <c r="H112" s="274">
        <f>(E112*0.23)</f>
        <v>166.06</v>
      </c>
      <c r="I112" s="273">
        <f t="shared" si="118"/>
        <v>91.333000000000013</v>
      </c>
      <c r="J112" s="613">
        <v>176</v>
      </c>
      <c r="K112" s="656">
        <v>30</v>
      </c>
      <c r="L112" s="656">
        <f>181-15</f>
        <v>166</v>
      </c>
      <c r="M112" s="656" t="s">
        <v>154</v>
      </c>
      <c r="N112" s="656" t="s">
        <v>154</v>
      </c>
      <c r="O112" s="656" t="s">
        <v>154</v>
      </c>
      <c r="P112" s="656" t="s">
        <v>154</v>
      </c>
      <c r="Q112" s="656">
        <f t="shared" si="119"/>
        <v>372</v>
      </c>
      <c r="R112" s="610">
        <f t="shared" si="120"/>
        <v>744</v>
      </c>
      <c r="S112" s="690">
        <f t="shared" si="121"/>
        <v>886</v>
      </c>
      <c r="T112" s="644">
        <v>35.65</v>
      </c>
      <c r="U112" s="624">
        <v>87</v>
      </c>
      <c r="V112" s="648" t="s">
        <v>154</v>
      </c>
      <c r="W112" s="648" t="s">
        <v>154</v>
      </c>
      <c r="X112" s="649">
        <f t="shared" si="122"/>
        <v>122.65</v>
      </c>
      <c r="Y112" s="524">
        <f t="shared" si="123"/>
        <v>245.3</v>
      </c>
      <c r="Z112" s="525">
        <f>Y112+(23)</f>
        <v>268.3</v>
      </c>
      <c r="AA112" s="624">
        <f t="shared" si="124"/>
        <v>102.24000000000001</v>
      </c>
      <c r="AB112" s="653">
        <f t="shared" si="125"/>
        <v>176.96699999999998</v>
      </c>
      <c r="AC112" s="862">
        <f>322-27</f>
        <v>295</v>
      </c>
      <c r="AD112" s="624">
        <f>(33.89)+(AC112*0.2095)</f>
        <v>95.692499999999995</v>
      </c>
      <c r="AE112" s="624">
        <f t="shared" si="126"/>
        <v>131.3425</v>
      </c>
      <c r="AF112" s="281">
        <f t="shared" si="127"/>
        <v>262.685</v>
      </c>
      <c r="AG112" s="444">
        <f t="shared" si="128"/>
        <v>285.685</v>
      </c>
      <c r="AH112" s="1175">
        <f>AG112-I112</f>
        <v>194.35199999999998</v>
      </c>
      <c r="AI112" s="1263" t="s">
        <v>783</v>
      </c>
      <c r="AJ112" s="673">
        <v>74</v>
      </c>
      <c r="AK112" s="1262">
        <f t="shared" si="129"/>
        <v>380</v>
      </c>
      <c r="AL112" s="1262">
        <f>S112-AK112</f>
        <v>506</v>
      </c>
      <c r="AM112" s="623">
        <v>15</v>
      </c>
      <c r="AN112" s="273">
        <f>198+(23)+AM112</f>
        <v>236</v>
      </c>
      <c r="AO112" s="274">
        <f>Z112-AN112</f>
        <v>32.300000000000011</v>
      </c>
      <c r="AP112" s="1056"/>
      <c r="AQ112" s="342" t="s">
        <v>1072</v>
      </c>
      <c r="AR112" s="276">
        <f>H112</f>
        <v>166.06</v>
      </c>
      <c r="AS112" s="261">
        <f>Z112</f>
        <v>268.3</v>
      </c>
      <c r="AT112" s="261">
        <f t="shared" si="132"/>
        <v>236</v>
      </c>
      <c r="AU112" s="804">
        <f>S112-G112</f>
        <v>12.000000000000114</v>
      </c>
      <c r="AV112" s="343">
        <f>S112-AK112</f>
        <v>506</v>
      </c>
      <c r="AX112" s="381"/>
      <c r="AY112" s="276"/>
      <c r="AZ112" s="382"/>
      <c r="BA112" s="383"/>
      <c r="BC112" s="384"/>
      <c r="BD112" s="1155">
        <f t="shared" si="133"/>
        <v>38</v>
      </c>
      <c r="BE112" s="970"/>
      <c r="BF112" s="372"/>
      <c r="BH112" s="978"/>
    </row>
    <row r="113" spans="1:63" s="180" customFormat="1">
      <c r="A113" s="896">
        <f>A112+1</f>
        <v>41</v>
      </c>
      <c r="B113" s="889">
        <f t="shared" ref="B113:B114" si="134">B112+1</f>
        <v>39</v>
      </c>
      <c r="C113" s="342" t="s">
        <v>1177</v>
      </c>
      <c r="D113" s="607">
        <v>335</v>
      </c>
      <c r="E113" s="656">
        <f t="shared" si="116"/>
        <v>670</v>
      </c>
      <c r="F113" s="862">
        <f>(2*360)</f>
        <v>720</v>
      </c>
      <c r="G113" s="656">
        <f t="shared" si="117"/>
        <v>827.99999999999989</v>
      </c>
      <c r="H113" s="624">
        <f t="shared" si="130"/>
        <v>154.1</v>
      </c>
      <c r="I113" s="624">
        <f t="shared" si="118"/>
        <v>84.75500000000001</v>
      </c>
      <c r="J113" s="613">
        <v>176</v>
      </c>
      <c r="K113" s="656">
        <v>30</v>
      </c>
      <c r="L113" s="656">
        <f>142-25</f>
        <v>117</v>
      </c>
      <c r="M113" s="656" t="s">
        <v>154</v>
      </c>
      <c r="N113" s="656" t="s">
        <v>154</v>
      </c>
      <c r="O113" s="656" t="s">
        <v>154</v>
      </c>
      <c r="P113" s="656" t="s">
        <v>154</v>
      </c>
      <c r="Q113" s="656">
        <f t="shared" si="119"/>
        <v>323</v>
      </c>
      <c r="R113" s="610">
        <f t="shared" si="120"/>
        <v>646</v>
      </c>
      <c r="S113" s="611">
        <f t="shared" si="121"/>
        <v>788</v>
      </c>
      <c r="T113" s="644">
        <v>35.65</v>
      </c>
      <c r="U113" s="639">
        <v>82</v>
      </c>
      <c r="V113" s="648" t="s">
        <v>154</v>
      </c>
      <c r="W113" s="648" t="s">
        <v>154</v>
      </c>
      <c r="X113" s="624">
        <f t="shared" si="122"/>
        <v>117.65</v>
      </c>
      <c r="Y113" s="524">
        <f t="shared" si="123"/>
        <v>235.3</v>
      </c>
      <c r="Z113" s="534">
        <f>(Y113+(23))</f>
        <v>258.3</v>
      </c>
      <c r="AA113" s="624">
        <f t="shared" si="124"/>
        <v>104.20000000000002</v>
      </c>
      <c r="AB113" s="653">
        <f t="shared" si="125"/>
        <v>173.54500000000002</v>
      </c>
      <c r="AC113" s="613">
        <f>294-27</f>
        <v>267</v>
      </c>
      <c r="AD113" s="624">
        <f t="shared" si="131"/>
        <v>89.826499999999996</v>
      </c>
      <c r="AE113" s="624">
        <f t="shared" si="126"/>
        <v>125.4765</v>
      </c>
      <c r="AF113" s="322">
        <f t="shared" si="127"/>
        <v>250.953</v>
      </c>
      <c r="AG113" s="369">
        <f t="shared" si="128"/>
        <v>273.95299999999997</v>
      </c>
      <c r="AH113" s="1175">
        <f>AG113-I113</f>
        <v>189.19799999999998</v>
      </c>
      <c r="AI113" s="1263" t="s">
        <v>783</v>
      </c>
      <c r="AJ113" s="673">
        <v>74</v>
      </c>
      <c r="AK113" s="1262">
        <f t="shared" si="129"/>
        <v>380</v>
      </c>
      <c r="AL113" s="1262">
        <f>S113-AK113</f>
        <v>408</v>
      </c>
      <c r="AM113" s="624" t="s">
        <v>13</v>
      </c>
      <c r="AN113" s="273">
        <f>198+(23)</f>
        <v>221</v>
      </c>
      <c r="AO113" s="274">
        <f>Z113-AN113</f>
        <v>37.300000000000011</v>
      </c>
      <c r="AP113" s="1055"/>
      <c r="AQ113" s="342" t="s">
        <v>152</v>
      </c>
      <c r="AR113" s="276">
        <f>H113</f>
        <v>154.1</v>
      </c>
      <c r="AS113" s="261">
        <f>Z113</f>
        <v>258.3</v>
      </c>
      <c r="AT113" s="261">
        <f t="shared" si="132"/>
        <v>221</v>
      </c>
      <c r="AU113" s="804">
        <f>S113-G113</f>
        <v>-39.999999999999886</v>
      </c>
      <c r="AV113" s="343">
        <f>S113-AK113</f>
        <v>408</v>
      </c>
      <c r="AW113" s="375"/>
      <c r="AX113" s="183"/>
      <c r="AY113" s="376"/>
      <c r="AZ113" s="377"/>
      <c r="BC113" s="378"/>
      <c r="BD113" s="1155">
        <f t="shared" si="133"/>
        <v>39</v>
      </c>
      <c r="BF113" s="380"/>
      <c r="BH113" s="1100"/>
    </row>
    <row r="114" spans="1:63" s="180" customFormat="1">
      <c r="A114" s="896">
        <f>A113+1</f>
        <v>42</v>
      </c>
      <c r="B114" s="889">
        <f t="shared" si="134"/>
        <v>40</v>
      </c>
      <c r="C114" s="342" t="s">
        <v>622</v>
      </c>
      <c r="D114" s="967">
        <v>390</v>
      </c>
      <c r="E114" s="1237">
        <f t="shared" si="116"/>
        <v>780</v>
      </c>
      <c r="F114" s="862">
        <f>(2*400)</f>
        <v>800</v>
      </c>
      <c r="G114" s="656">
        <f t="shared" si="117"/>
        <v>919.99999999999989</v>
      </c>
      <c r="H114" s="624">
        <f t="shared" si="130"/>
        <v>179.4</v>
      </c>
      <c r="I114" s="624">
        <f t="shared" si="118"/>
        <v>98.670000000000016</v>
      </c>
      <c r="J114" s="613">
        <v>176</v>
      </c>
      <c r="K114" s="656">
        <v>30</v>
      </c>
      <c r="L114" s="656">
        <v>142</v>
      </c>
      <c r="M114" s="656" t="s">
        <v>154</v>
      </c>
      <c r="N114" s="656" t="s">
        <v>154</v>
      </c>
      <c r="O114" s="656" t="s">
        <v>154</v>
      </c>
      <c r="P114" s="656" t="s">
        <v>154</v>
      </c>
      <c r="Q114" s="656">
        <f t="shared" si="119"/>
        <v>348</v>
      </c>
      <c r="R114" s="610">
        <f t="shared" si="120"/>
        <v>696</v>
      </c>
      <c r="S114" s="611">
        <f t="shared" si="121"/>
        <v>838</v>
      </c>
      <c r="T114" s="644">
        <v>35.65</v>
      </c>
      <c r="U114" s="639">
        <v>93</v>
      </c>
      <c r="V114" s="648" t="s">
        <v>154</v>
      </c>
      <c r="W114" s="648" t="s">
        <v>154</v>
      </c>
      <c r="X114" s="624">
        <f t="shared" si="122"/>
        <v>128.65</v>
      </c>
      <c r="Y114" s="524">
        <f t="shared" si="123"/>
        <v>257.3</v>
      </c>
      <c r="Z114" s="525">
        <f>(Y114+(23))</f>
        <v>280.3</v>
      </c>
      <c r="AA114" s="624">
        <f t="shared" si="124"/>
        <v>100.9</v>
      </c>
      <c r="AB114" s="653">
        <f t="shared" si="125"/>
        <v>181.63</v>
      </c>
      <c r="AC114" s="663">
        <f>353-27</f>
        <v>326</v>
      </c>
      <c r="AD114" s="624">
        <f t="shared" si="131"/>
        <v>102.187</v>
      </c>
      <c r="AE114" s="624">
        <f t="shared" si="126"/>
        <v>137.83699999999999</v>
      </c>
      <c r="AF114" s="322">
        <f t="shared" si="127"/>
        <v>275.67399999999998</v>
      </c>
      <c r="AG114" s="369">
        <f t="shared" si="128"/>
        <v>298.67399999999998</v>
      </c>
      <c r="AH114" s="854">
        <f>AG114-I114</f>
        <v>200.00399999999996</v>
      </c>
      <c r="AI114" s="1263" t="s">
        <v>783</v>
      </c>
      <c r="AJ114" s="673">
        <v>74</v>
      </c>
      <c r="AK114" s="1262">
        <f t="shared" si="129"/>
        <v>380</v>
      </c>
      <c r="AL114" s="1262">
        <f>S114-AK114</f>
        <v>458</v>
      </c>
      <c r="AM114" s="623">
        <v>31</v>
      </c>
      <c r="AN114" s="273">
        <f>198+(23)+AM114</f>
        <v>252</v>
      </c>
      <c r="AO114" s="274">
        <f>Z114-AN114</f>
        <v>28.300000000000011</v>
      </c>
      <c r="AP114" s="1055"/>
      <c r="AQ114" s="342" t="s">
        <v>95</v>
      </c>
      <c r="AR114" s="276">
        <f>H114</f>
        <v>179.4</v>
      </c>
      <c r="AS114" s="261">
        <f>Z114</f>
        <v>280.3</v>
      </c>
      <c r="AT114" s="261">
        <f t="shared" si="132"/>
        <v>252</v>
      </c>
      <c r="AU114" s="804">
        <f>S114-G114</f>
        <v>-81.999999999999886</v>
      </c>
      <c r="AV114" s="343">
        <f>S114-AK114</f>
        <v>458</v>
      </c>
      <c r="AX114" s="375"/>
      <c r="AY114" s="183"/>
      <c r="AZ114" s="376"/>
      <c r="BA114" s="377"/>
      <c r="BC114" s="384"/>
      <c r="BD114" s="1155">
        <f t="shared" si="133"/>
        <v>40</v>
      </c>
      <c r="BE114" s="970"/>
      <c r="BF114" s="380"/>
      <c r="BH114" s="135"/>
    </row>
    <row r="115" spans="1:63" ht="300" customHeight="1">
      <c r="C115" s="263"/>
      <c r="D115" s="1915" t="s">
        <v>1067</v>
      </c>
      <c r="E115" s="1688"/>
      <c r="F115" s="1460" t="s">
        <v>1030</v>
      </c>
      <c r="G115" s="1408" t="s">
        <v>1031</v>
      </c>
      <c r="H115" s="1461" t="s">
        <v>540</v>
      </c>
      <c r="I115" s="1027"/>
      <c r="J115" s="974" t="s">
        <v>1162</v>
      </c>
      <c r="K115" s="1426" t="s">
        <v>1068</v>
      </c>
      <c r="L115" s="1464" t="s">
        <v>1069</v>
      </c>
      <c r="M115" s="399"/>
      <c r="N115" s="399"/>
      <c r="O115" s="14"/>
      <c r="P115" s="172"/>
      <c r="Q115" s="172"/>
      <c r="R115" s="146"/>
      <c r="S115" s="1463" t="s">
        <v>1052</v>
      </c>
      <c r="T115" s="399" t="s">
        <v>1163</v>
      </c>
      <c r="U115" s="1464" t="s">
        <v>999</v>
      </c>
      <c r="V115" s="52"/>
      <c r="W115" s="52"/>
      <c r="X115" s="52"/>
      <c r="Y115" s="120"/>
      <c r="Z115" s="553" t="s">
        <v>1051</v>
      </c>
      <c r="AA115" s="174"/>
      <c r="AB115" s="1351" t="s">
        <v>541</v>
      </c>
      <c r="AC115" s="1377" t="s">
        <v>1071</v>
      </c>
      <c r="AD115" s="1454" t="s">
        <v>542</v>
      </c>
      <c r="AE115" s="140"/>
      <c r="AF115" s="214"/>
      <c r="AG115" s="553" t="s">
        <v>1051</v>
      </c>
      <c r="AH115" s="855"/>
      <c r="AI115" s="214"/>
      <c r="AJ115" s="1371" t="s">
        <v>1150</v>
      </c>
      <c r="AK115" s="204"/>
      <c r="AL115" s="132"/>
      <c r="AM115" s="132"/>
      <c r="AN115" s="1411" t="s">
        <v>1054</v>
      </c>
      <c r="AO115" s="73"/>
      <c r="AP115" s="1053"/>
      <c r="AQ115" s="69" t="s">
        <v>105</v>
      </c>
    </row>
    <row r="116" spans="1:63">
      <c r="C116" s="83"/>
      <c r="D116" s="83"/>
      <c r="E116" s="59"/>
      <c r="F116" s="60"/>
      <c r="G116" s="314"/>
      <c r="H116" s="61"/>
      <c r="I116" s="69"/>
      <c r="J116" s="69"/>
      <c r="K116" s="69"/>
      <c r="L116" s="69"/>
      <c r="M116" s="69"/>
      <c r="N116" s="69"/>
      <c r="O116" s="69"/>
      <c r="P116" s="69"/>
      <c r="Q116" s="69"/>
      <c r="R116" s="54"/>
      <c r="S116" s="52"/>
      <c r="T116" s="52"/>
      <c r="U116" s="52"/>
      <c r="W116" s="52"/>
      <c r="X116" s="52"/>
      <c r="Y116" s="79"/>
      <c r="Z116" s="47"/>
      <c r="AA116" s="70"/>
      <c r="AB116" s="94"/>
      <c r="AC116" s="64"/>
      <c r="AD116" s="64"/>
      <c r="AE116" s="64"/>
      <c r="AF116" s="70"/>
      <c r="AG116" s="47"/>
      <c r="AH116" s="70"/>
      <c r="AI116" s="70"/>
      <c r="AJ116" s="71"/>
      <c r="AK116" s="72"/>
      <c r="AL116" s="132"/>
      <c r="AM116" s="132"/>
      <c r="AN116" s="73"/>
      <c r="AO116" s="73"/>
      <c r="AP116" s="1053"/>
      <c r="AQ116" s="69"/>
      <c r="AV116" s="1"/>
    </row>
    <row r="117" spans="1:63" s="14" customFormat="1">
      <c r="A117" s="927"/>
      <c r="B117" s="428"/>
      <c r="C117" s="1924"/>
      <c r="D117" s="1924"/>
      <c r="E117" s="1924"/>
      <c r="F117" s="1924"/>
      <c r="G117" s="1924"/>
      <c r="H117" s="1924"/>
      <c r="I117" s="1924"/>
      <c r="J117" s="1924"/>
      <c r="K117" s="1924"/>
      <c r="L117" s="1924"/>
      <c r="M117" s="1924"/>
      <c r="N117" s="1924"/>
      <c r="O117" s="1924"/>
      <c r="P117" s="1924"/>
      <c r="Q117" s="1924"/>
      <c r="R117" s="1924"/>
      <c r="S117" s="1924"/>
      <c r="T117" s="1914"/>
      <c r="U117" s="1914"/>
      <c r="V117" s="1914"/>
      <c r="W117" s="1914"/>
      <c r="X117" s="1914"/>
      <c r="Y117" s="1914"/>
      <c r="Z117" s="1914"/>
      <c r="AA117" s="1914"/>
      <c r="AB117" s="1914"/>
      <c r="AC117" s="1914"/>
      <c r="AD117" s="1914"/>
      <c r="AE117" s="1914"/>
      <c r="AF117" s="1914"/>
      <c r="AG117" s="1914"/>
      <c r="AH117" s="1914"/>
      <c r="AI117" s="1914"/>
      <c r="AJ117" s="1914"/>
      <c r="AK117" s="1914"/>
      <c r="AL117" s="1914"/>
      <c r="AM117" s="1914"/>
      <c r="AN117" s="1914"/>
      <c r="AO117" s="1914"/>
      <c r="AP117" s="1156"/>
      <c r="AT117" s="217"/>
      <c r="AU117" s="218"/>
      <c r="BC117" s="216"/>
      <c r="BD117" s="216"/>
      <c r="BE117" s="216"/>
    </row>
    <row r="118" spans="1:63" s="1229" customFormat="1" ht="35" customHeight="1">
      <c r="A118" s="1329"/>
      <c r="B118" s="1566" t="s">
        <v>165</v>
      </c>
      <c r="C118" s="1572" t="s">
        <v>35</v>
      </c>
      <c r="D118" s="1933" t="s">
        <v>2</v>
      </c>
      <c r="E118" s="1933"/>
      <c r="F118" s="1933"/>
      <c r="G118" s="1933"/>
      <c r="H118" s="1933"/>
      <c r="I118" s="1770"/>
      <c r="J118" s="1788" t="s">
        <v>645</v>
      </c>
      <c r="K118" s="1789"/>
      <c r="L118" s="1790"/>
      <c r="M118" s="1790"/>
      <c r="N118" s="1790"/>
      <c r="O118" s="1790"/>
      <c r="P118" s="1791"/>
      <c r="Q118" s="1790"/>
      <c r="R118" s="1684" t="s">
        <v>882</v>
      </c>
      <c r="S118" s="1779"/>
      <c r="T118" s="1786" t="s">
        <v>664</v>
      </c>
      <c r="U118" s="1787"/>
      <c r="V118" s="1787"/>
      <c r="W118" s="1787"/>
      <c r="X118" s="1787"/>
      <c r="Y118" s="1811" t="s">
        <v>648</v>
      </c>
      <c r="Z118" s="1812"/>
      <c r="AA118" s="1276"/>
      <c r="AB118" s="1276"/>
      <c r="AC118" s="1784" t="s">
        <v>162</v>
      </c>
      <c r="AD118" s="1785"/>
      <c r="AE118" s="1785"/>
      <c r="AF118" s="1782" t="s">
        <v>883</v>
      </c>
      <c r="AG118" s="1783"/>
      <c r="AH118" s="1457"/>
      <c r="AI118" s="1823" t="s">
        <v>167</v>
      </c>
      <c r="AJ118" s="1906"/>
      <c r="AK118" s="1906"/>
      <c r="AL118" s="1906"/>
      <c r="AM118" s="1906"/>
      <c r="AN118" s="1907"/>
      <c r="AO118" s="1278"/>
      <c r="AP118" s="1413"/>
      <c r="AS118" s="1219"/>
      <c r="AT118" s="1388"/>
      <c r="AU118" s="1368"/>
      <c r="BC118" s="1389"/>
      <c r="BD118" s="1389"/>
      <c r="BE118" s="1389"/>
    </row>
    <row r="119" spans="1:63">
      <c r="C119" s="505"/>
      <c r="D119" s="226">
        <v>1</v>
      </c>
      <c r="E119" s="230">
        <f>D119+1</f>
        <v>2</v>
      </c>
      <c r="F119" s="230">
        <f t="shared" ref="F119" si="135">E119+1</f>
        <v>3</v>
      </c>
      <c r="G119" s="230">
        <f t="shared" ref="G119" si="136">F119+1</f>
        <v>4</v>
      </c>
      <c r="H119" s="230">
        <f t="shared" ref="H119" si="137">G119+1</f>
        <v>5</v>
      </c>
      <c r="I119" s="228">
        <f t="shared" ref="I119" si="138">H119+1</f>
        <v>6</v>
      </c>
      <c r="J119" s="226">
        <f t="shared" ref="J119" si="139">I119+1</f>
        <v>7</v>
      </c>
      <c r="K119" s="230">
        <f t="shared" ref="K119" si="140">J119+1</f>
        <v>8</v>
      </c>
      <c r="L119" s="230">
        <f t="shared" ref="L119" si="141">K119+1</f>
        <v>9</v>
      </c>
      <c r="M119" s="230">
        <f t="shared" ref="M119" si="142">L119+1</f>
        <v>10</v>
      </c>
      <c r="N119" s="230">
        <f t="shared" ref="N119" si="143">M119+1</f>
        <v>11</v>
      </c>
      <c r="O119" s="230">
        <f t="shared" ref="O119" si="144">N119+1</f>
        <v>12</v>
      </c>
      <c r="P119" s="230">
        <f t="shared" ref="P119" si="145">O119+1</f>
        <v>13</v>
      </c>
      <c r="Q119" s="228">
        <f t="shared" ref="Q119" si="146">P119+1</f>
        <v>14</v>
      </c>
      <c r="R119" s="226">
        <f t="shared" ref="R119" si="147">Q119+1</f>
        <v>15</v>
      </c>
      <c r="S119" s="228">
        <v>16</v>
      </c>
      <c r="T119" s="226">
        <v>17</v>
      </c>
      <c r="U119" s="230">
        <v>18</v>
      </c>
      <c r="V119" s="230">
        <f>U119+1</f>
        <v>19</v>
      </c>
      <c r="W119" s="230">
        <f>V119+1</f>
        <v>20</v>
      </c>
      <c r="X119" s="230">
        <f>W119+1</f>
        <v>21</v>
      </c>
      <c r="Y119" s="1041">
        <f>X119+1</f>
        <v>22</v>
      </c>
      <c r="Z119" s="1042">
        <f>Y119+1</f>
        <v>23</v>
      </c>
      <c r="AA119" s="226">
        <f t="shared" ref="AA119" si="148">Z119+1</f>
        <v>24</v>
      </c>
      <c r="AB119" s="228">
        <f t="shared" ref="AB119" si="149">AA119+1</f>
        <v>25</v>
      </c>
      <c r="AC119" s="226">
        <f t="shared" ref="AC119" si="150">AB119+1</f>
        <v>26</v>
      </c>
      <c r="AD119" s="230">
        <f t="shared" ref="AD119" si="151">AC119+1</f>
        <v>27</v>
      </c>
      <c r="AE119" s="228">
        <f t="shared" ref="AE119" si="152">AD119+1</f>
        <v>28</v>
      </c>
      <c r="AF119" s="1041">
        <f t="shared" ref="AF119" si="153">AE119+1</f>
        <v>29</v>
      </c>
      <c r="AG119" s="1042">
        <f t="shared" ref="AG119" si="154">AF119+1</f>
        <v>30</v>
      </c>
      <c r="AH119" s="226">
        <f>AG119+1</f>
        <v>31</v>
      </c>
      <c r="AI119" s="109">
        <f>AH119+1</f>
        <v>32</v>
      </c>
      <c r="AJ119" s="50">
        <f>AI119+1</f>
        <v>33</v>
      </c>
      <c r="AK119" s="230">
        <f t="shared" ref="AK119" si="155">AJ119+1</f>
        <v>34</v>
      </c>
      <c r="AL119" s="230">
        <f t="shared" ref="AL119" si="156">AK119+1</f>
        <v>35</v>
      </c>
      <c r="AM119" s="50">
        <f>AL119+1</f>
        <v>36</v>
      </c>
      <c r="AN119" s="110">
        <f>AM119+1</f>
        <v>37</v>
      </c>
      <c r="AO119" s="226">
        <f t="shared" ref="AO119" si="157">AN119+1</f>
        <v>38</v>
      </c>
      <c r="AP119" s="1064"/>
      <c r="AQ119" s="93"/>
      <c r="AR119" s="93"/>
      <c r="AS119" s="586"/>
      <c r="AT119" s="108"/>
      <c r="AU119" s="125"/>
      <c r="AV119" s="93"/>
      <c r="AW119" s="93"/>
      <c r="AX119" s="93"/>
      <c r="AY119" s="93"/>
      <c r="AZ119" s="93"/>
      <c r="BA119" s="93"/>
      <c r="BB119" s="93"/>
      <c r="BC119" s="134"/>
      <c r="BD119" s="134"/>
      <c r="BE119" s="134"/>
      <c r="BF119" s="93"/>
      <c r="BG119" s="93"/>
      <c r="BH119" s="93"/>
      <c r="BI119" s="93"/>
      <c r="BJ119" s="93"/>
      <c r="BK119" s="93"/>
    </row>
    <row r="120" spans="1:63" ht="126" customHeight="1">
      <c r="C120" s="1311" t="s">
        <v>1073</v>
      </c>
      <c r="D120" s="1484" t="s">
        <v>399</v>
      </c>
      <c r="E120" s="1580" t="s">
        <v>400</v>
      </c>
      <c r="F120" s="1364" t="s">
        <v>246</v>
      </c>
      <c r="G120" s="1240" t="s">
        <v>234</v>
      </c>
      <c r="H120" s="805" t="s">
        <v>1028</v>
      </c>
      <c r="I120" s="1002" t="s">
        <v>248</v>
      </c>
      <c r="J120" s="1240" t="s">
        <v>401</v>
      </c>
      <c r="K120" s="1240" t="s">
        <v>402</v>
      </c>
      <c r="L120" s="1240" t="s">
        <v>586</v>
      </c>
      <c r="M120" s="1240" t="s">
        <v>587</v>
      </c>
      <c r="N120" s="1240" t="s">
        <v>588</v>
      </c>
      <c r="O120" s="1240" t="s">
        <v>254</v>
      </c>
      <c r="P120" s="1240" t="s">
        <v>404</v>
      </c>
      <c r="Q120" s="1405" t="s">
        <v>256</v>
      </c>
      <c r="R120" s="602" t="s">
        <v>383</v>
      </c>
      <c r="S120" s="457" t="s">
        <v>384</v>
      </c>
      <c r="T120" s="1013" t="s">
        <v>405</v>
      </c>
      <c r="U120" s="1010" t="s">
        <v>1165</v>
      </c>
      <c r="V120" s="1010" t="s">
        <v>407</v>
      </c>
      <c r="W120" s="872" t="s">
        <v>261</v>
      </c>
      <c r="X120" s="1020" t="s">
        <v>367</v>
      </c>
      <c r="Y120" s="523" t="s">
        <v>995</v>
      </c>
      <c r="Z120" s="599" t="s">
        <v>996</v>
      </c>
      <c r="AA120" s="1010" t="s">
        <v>265</v>
      </c>
      <c r="AB120" s="1010" t="s">
        <v>266</v>
      </c>
      <c r="AC120" s="1239" t="s">
        <v>408</v>
      </c>
      <c r="AD120" s="872" t="s">
        <v>369</v>
      </c>
      <c r="AE120" s="1010" t="s">
        <v>269</v>
      </c>
      <c r="AF120" s="605" t="s">
        <v>350</v>
      </c>
      <c r="AG120" s="600" t="s">
        <v>270</v>
      </c>
      <c r="AH120" s="1088" t="s">
        <v>271</v>
      </c>
      <c r="AI120" s="1266" t="s">
        <v>808</v>
      </c>
      <c r="AJ120" s="1267" t="s">
        <v>809</v>
      </c>
      <c r="AK120" s="1318" t="s">
        <v>14</v>
      </c>
      <c r="AL120" s="1466" t="s">
        <v>1</v>
      </c>
      <c r="AM120" s="1010" t="s">
        <v>810</v>
      </c>
      <c r="AN120" s="1020" t="s">
        <v>746</v>
      </c>
      <c r="AO120" s="446" t="s">
        <v>272</v>
      </c>
      <c r="AP120" s="1053"/>
      <c r="AQ120" s="1311" t="s">
        <v>1073</v>
      </c>
      <c r="AR120" s="805" t="s">
        <v>357</v>
      </c>
      <c r="AS120" s="988" t="s">
        <v>273</v>
      </c>
      <c r="AT120" s="805" t="s">
        <v>746</v>
      </c>
      <c r="AU120" s="1008" t="s">
        <v>811</v>
      </c>
      <c r="AV120" s="1008" t="s">
        <v>745</v>
      </c>
      <c r="AX120" s="138"/>
      <c r="AY120" s="808"/>
      <c r="AZ120" s="106"/>
      <c r="BA120" s="151"/>
      <c r="BC120" s="809"/>
      <c r="BD120" s="1149" t="s">
        <v>822</v>
      </c>
      <c r="BE120" s="1112"/>
      <c r="BF120" s="1114"/>
    </row>
    <row r="121" spans="1:63" s="832" customFormat="1" ht="16" customHeight="1">
      <c r="A121" s="896">
        <f>A114+1</f>
        <v>43</v>
      </c>
      <c r="B121" s="976">
        <f>B114+1</f>
        <v>41</v>
      </c>
      <c r="C121" s="860" t="s">
        <v>583</v>
      </c>
      <c r="D121" s="958">
        <v>415</v>
      </c>
      <c r="E121" s="656">
        <f t="shared" ref="E121:E124" si="158">(2*D121)</f>
        <v>830</v>
      </c>
      <c r="F121" s="1583">
        <f>2*429</f>
        <v>858</v>
      </c>
      <c r="G121" s="671">
        <f t="shared" ref="G121:G124" si="159">F121*1.15</f>
        <v>986.69999999999993</v>
      </c>
      <c r="H121" s="624">
        <f>(E121*0.23)</f>
        <v>190.9</v>
      </c>
      <c r="I121" s="653">
        <f t="shared" ref="I121:I122" si="160">0.5*(H121*1.1)</f>
        <v>104.995</v>
      </c>
      <c r="J121" s="1090">
        <v>176</v>
      </c>
      <c r="K121" s="656">
        <v>30</v>
      </c>
      <c r="L121" s="1090">
        <v>142</v>
      </c>
      <c r="M121" s="1090">
        <v>15</v>
      </c>
      <c r="N121" s="1090">
        <f>200-155</f>
        <v>45</v>
      </c>
      <c r="O121" s="656" t="s">
        <v>154</v>
      </c>
      <c r="P121" s="656" t="s">
        <v>154</v>
      </c>
      <c r="Q121" s="656">
        <f t="shared" ref="Q121:Q124" si="161">SUM(J121:P121)</f>
        <v>408</v>
      </c>
      <c r="R121" s="743">
        <f t="shared" ref="R121" si="162">2*Q121</f>
        <v>816</v>
      </c>
      <c r="S121" s="850">
        <f t="shared" ref="S121" si="163">R121+(2*71)</f>
        <v>958</v>
      </c>
      <c r="T121" s="644">
        <v>35.65</v>
      </c>
      <c r="U121" s="639">
        <v>93</v>
      </c>
      <c r="V121" s="852">
        <v>1</v>
      </c>
      <c r="W121" s="648" t="s">
        <v>154</v>
      </c>
      <c r="X121" s="653">
        <f t="shared" ref="X121:X124" si="164">SUM(T121:W121)</f>
        <v>129.65</v>
      </c>
      <c r="Y121" s="532">
        <f t="shared" ref="Y121" si="165">2*X121</f>
        <v>259.3</v>
      </c>
      <c r="Z121" s="525">
        <f>(Y121+(23))</f>
        <v>282.3</v>
      </c>
      <c r="AA121" s="624">
        <f t="shared" ref="AA121" si="166">Z121-H121</f>
        <v>91.4</v>
      </c>
      <c r="AB121" s="653">
        <f t="shared" ref="AB121" si="167">(Z121)-(I121)</f>
        <v>177.30500000000001</v>
      </c>
      <c r="AC121" s="853">
        <f>326-0</f>
        <v>326</v>
      </c>
      <c r="AD121" s="624">
        <f>(33.89)+(AC121*0.2095)</f>
        <v>102.187</v>
      </c>
      <c r="AE121" s="653">
        <f t="shared" ref="AE121" si="168">X121-U121+AD121</f>
        <v>138.83699999999999</v>
      </c>
      <c r="AF121" s="830">
        <f t="shared" ref="AF121" si="169">2*AE121</f>
        <v>277.67399999999998</v>
      </c>
      <c r="AG121" s="369">
        <f t="shared" ref="AG121" si="170">AF121+(23)</f>
        <v>300.67399999999998</v>
      </c>
      <c r="AH121" s="854">
        <f t="shared" ref="AH121:AH124" si="171">AG121-I121</f>
        <v>195.67899999999997</v>
      </c>
      <c r="AI121" s="1263" t="s">
        <v>785</v>
      </c>
      <c r="AJ121" s="1482">
        <v>103</v>
      </c>
      <c r="AK121" s="1262">
        <f>2*AJ121+(2*71)+(2*45)</f>
        <v>438</v>
      </c>
      <c r="AL121" s="1262">
        <f t="shared" ref="AL121:AL124" si="172">S121-AK121</f>
        <v>520</v>
      </c>
      <c r="AM121" s="623">
        <v>31</v>
      </c>
      <c r="AN121" s="859">
        <f>196+23+AM121</f>
        <v>250</v>
      </c>
      <c r="AO121" s="856">
        <f t="shared" ref="AO121:AO124" si="173">Z121-AN121</f>
        <v>32.300000000000011</v>
      </c>
      <c r="AP121" s="1053"/>
      <c r="AQ121" s="860" t="s">
        <v>1191</v>
      </c>
      <c r="AR121" s="276">
        <f t="shared" ref="AR121:AR124" si="174">H121</f>
        <v>190.9</v>
      </c>
      <c r="AS121" s="261">
        <f t="shared" ref="AS121:AS124" si="175">Z121</f>
        <v>282.3</v>
      </c>
      <c r="AT121" s="261">
        <f>AN121</f>
        <v>250</v>
      </c>
      <c r="AU121" s="804">
        <f t="shared" ref="AU121:AU124" si="176">S121-G121</f>
        <v>-28.699999999999932</v>
      </c>
      <c r="AV121" s="343">
        <f t="shared" ref="AV121:AV124" si="177">S121-AK121</f>
        <v>520</v>
      </c>
      <c r="AY121" s="382"/>
      <c r="AZ121" s="833"/>
      <c r="BB121" s="834"/>
      <c r="BC121" s="835"/>
      <c r="BD121" s="1155">
        <f>B121</f>
        <v>41</v>
      </c>
      <c r="BE121" s="836"/>
      <c r="BF121" s="837"/>
      <c r="BH121" s="135"/>
    </row>
    <row r="122" spans="1:63" s="544" customFormat="1">
      <c r="A122" s="896">
        <f>A121+1</f>
        <v>44</v>
      </c>
      <c r="B122" s="889">
        <f>B121+1</f>
        <v>42</v>
      </c>
      <c r="C122" s="860" t="s">
        <v>585</v>
      </c>
      <c r="D122" s="607">
        <v>426</v>
      </c>
      <c r="E122" s="656">
        <f t="shared" si="158"/>
        <v>852</v>
      </c>
      <c r="F122" s="862">
        <f>(2*444)</f>
        <v>888</v>
      </c>
      <c r="G122" s="671">
        <f t="shared" si="159"/>
        <v>1021.1999999999999</v>
      </c>
      <c r="H122" s="624">
        <f>(E122*0.23)</f>
        <v>195.96</v>
      </c>
      <c r="I122" s="653">
        <f t="shared" si="160"/>
        <v>107.77800000000002</v>
      </c>
      <c r="J122" s="1090">
        <v>176</v>
      </c>
      <c r="K122" s="656">
        <v>30</v>
      </c>
      <c r="L122" s="656">
        <f>169-23</f>
        <v>146</v>
      </c>
      <c r="M122" s="656" t="s">
        <v>154</v>
      </c>
      <c r="N122" s="656" t="s">
        <v>154</v>
      </c>
      <c r="O122" s="656" t="s">
        <v>154</v>
      </c>
      <c r="P122" s="656" t="s">
        <v>154</v>
      </c>
      <c r="Q122" s="656">
        <f t="shared" si="161"/>
        <v>352</v>
      </c>
      <c r="R122" s="743">
        <f t="shared" ref="R122:R124" si="178">2*Q122</f>
        <v>704</v>
      </c>
      <c r="S122" s="851">
        <f t="shared" ref="S122:S124" si="179">R122+(2*71)</f>
        <v>846</v>
      </c>
      <c r="T122" s="644">
        <v>35.65</v>
      </c>
      <c r="U122" s="639">
        <v>93</v>
      </c>
      <c r="V122" s="648" t="s">
        <v>154</v>
      </c>
      <c r="W122" s="648" t="s">
        <v>154</v>
      </c>
      <c r="X122" s="653">
        <f t="shared" si="164"/>
        <v>128.65</v>
      </c>
      <c r="Y122" s="532">
        <f t="shared" ref="Y122:Y124" si="180">2*X122</f>
        <v>257.3</v>
      </c>
      <c r="Z122" s="525">
        <f t="shared" ref="Z122:Z124" si="181">(Y122+(23))</f>
        <v>280.3</v>
      </c>
      <c r="AA122" s="624">
        <f t="shared" ref="AA122:AA124" si="182">Z122-H122</f>
        <v>84.34</v>
      </c>
      <c r="AB122" s="653">
        <f t="shared" ref="AB122:AB124" si="183">(Z122)-(I122)</f>
        <v>172.52199999999999</v>
      </c>
      <c r="AC122" s="663">
        <f>466-78</f>
        <v>388</v>
      </c>
      <c r="AD122" s="624">
        <f t="shared" ref="AD122:AD124" si="184">(33.89)+(AC122*0.2095)</f>
        <v>115.176</v>
      </c>
      <c r="AE122" s="653">
        <f t="shared" ref="AE122:AE124" si="185">X122-U122+AD122</f>
        <v>150.82600000000002</v>
      </c>
      <c r="AF122" s="830">
        <f t="shared" ref="AF122:AF124" si="186">2*AE122</f>
        <v>301.65200000000004</v>
      </c>
      <c r="AG122" s="369">
        <f t="shared" ref="AG122:AG124" si="187">AF122+(23)</f>
        <v>324.65200000000004</v>
      </c>
      <c r="AH122" s="854">
        <f t="shared" si="171"/>
        <v>216.87400000000002</v>
      </c>
      <c r="AI122" s="1263" t="s">
        <v>784</v>
      </c>
      <c r="AJ122" s="1352">
        <v>84</v>
      </c>
      <c r="AK122" s="1262">
        <f t="shared" ref="AK122:AK124" si="188">2*AJ122+(2*71)+(2*45)</f>
        <v>400</v>
      </c>
      <c r="AL122" s="1262">
        <f t="shared" si="172"/>
        <v>446</v>
      </c>
      <c r="AM122" s="623">
        <v>15</v>
      </c>
      <c r="AN122" s="859">
        <f>232+23+AM122</f>
        <v>270</v>
      </c>
      <c r="AO122" s="856">
        <f t="shared" si="173"/>
        <v>10.300000000000011</v>
      </c>
      <c r="AP122" s="1065"/>
      <c r="AQ122" s="860" t="s">
        <v>1192</v>
      </c>
      <c r="AR122" s="276">
        <f t="shared" si="174"/>
        <v>195.96</v>
      </c>
      <c r="AS122" s="261">
        <f t="shared" si="175"/>
        <v>280.3</v>
      </c>
      <c r="AT122" s="261">
        <f t="shared" ref="AT122:AT124" si="189">AN122</f>
        <v>270</v>
      </c>
      <c r="AU122" s="804">
        <f t="shared" si="176"/>
        <v>-175.19999999999993</v>
      </c>
      <c r="AV122" s="343">
        <f t="shared" si="177"/>
        <v>446</v>
      </c>
      <c r="AX122" s="375"/>
      <c r="AY122" s="183"/>
      <c r="AZ122" s="376"/>
      <c r="BA122" s="377"/>
      <c r="BC122" s="838"/>
      <c r="BD122" s="1155">
        <f t="shared" ref="BD122:BD124" si="190">B122</f>
        <v>42</v>
      </c>
      <c r="BE122" s="836"/>
      <c r="BF122" s="841"/>
    </row>
    <row r="123" spans="1:63" s="832" customFormat="1" ht="16" customHeight="1">
      <c r="A123" s="896">
        <f t="shared" ref="A123:A124" si="191">A122+1</f>
        <v>45</v>
      </c>
      <c r="B123" s="889">
        <f>B122+1</f>
        <v>43</v>
      </c>
      <c r="C123" s="1015" t="s">
        <v>1075</v>
      </c>
      <c r="D123" s="607">
        <v>490</v>
      </c>
      <c r="E123" s="656">
        <f t="shared" si="158"/>
        <v>980</v>
      </c>
      <c r="F123" s="1583">
        <f>2*497</f>
        <v>994</v>
      </c>
      <c r="G123" s="671">
        <f t="shared" si="159"/>
        <v>1143.0999999999999</v>
      </c>
      <c r="H123" s="624">
        <f t="shared" ref="H123:H124" si="192">(E123*0.23)</f>
        <v>225.4</v>
      </c>
      <c r="I123" s="653">
        <f t="shared" ref="I123:I124" si="193">0.5*(H123*1.1)</f>
        <v>123.97000000000001</v>
      </c>
      <c r="J123" s="1090">
        <v>176</v>
      </c>
      <c r="K123" s="656">
        <v>30</v>
      </c>
      <c r="L123" s="1090">
        <v>142</v>
      </c>
      <c r="M123" s="1090">
        <v>15</v>
      </c>
      <c r="N123" s="1090">
        <f>200-10</f>
        <v>190</v>
      </c>
      <c r="O123" s="656" t="s">
        <v>154</v>
      </c>
      <c r="P123" s="656" t="s">
        <v>154</v>
      </c>
      <c r="Q123" s="656">
        <f t="shared" si="161"/>
        <v>553</v>
      </c>
      <c r="R123" s="743">
        <f t="shared" si="178"/>
        <v>1106</v>
      </c>
      <c r="S123" s="851">
        <f t="shared" si="179"/>
        <v>1248</v>
      </c>
      <c r="T123" s="644">
        <v>35.65</v>
      </c>
      <c r="U123" s="639">
        <v>93</v>
      </c>
      <c r="V123" s="852">
        <v>10</v>
      </c>
      <c r="W123" s="648" t="s">
        <v>154</v>
      </c>
      <c r="X123" s="653">
        <f t="shared" si="164"/>
        <v>138.65</v>
      </c>
      <c r="Y123" s="532">
        <f t="shared" si="180"/>
        <v>277.3</v>
      </c>
      <c r="Z123" s="525">
        <f t="shared" si="181"/>
        <v>300.3</v>
      </c>
      <c r="AA123" s="624">
        <f t="shared" si="182"/>
        <v>74.900000000000006</v>
      </c>
      <c r="AB123" s="653">
        <f t="shared" si="183"/>
        <v>176.32999999999998</v>
      </c>
      <c r="AC123" s="853">
        <f>326-0</f>
        <v>326</v>
      </c>
      <c r="AD123" s="624">
        <f t="shared" si="184"/>
        <v>102.187</v>
      </c>
      <c r="AE123" s="653">
        <f t="shared" si="185"/>
        <v>147.83699999999999</v>
      </c>
      <c r="AF123" s="830">
        <f t="shared" si="186"/>
        <v>295.67399999999998</v>
      </c>
      <c r="AG123" s="369">
        <f t="shared" si="187"/>
        <v>318.67399999999998</v>
      </c>
      <c r="AH123" s="854">
        <f t="shared" si="171"/>
        <v>194.70399999999995</v>
      </c>
      <c r="AI123" s="1263" t="s">
        <v>785</v>
      </c>
      <c r="AJ123" s="1482">
        <v>103</v>
      </c>
      <c r="AK123" s="1262">
        <f>2*AJ123+(2*71)+(2*45)</f>
        <v>438</v>
      </c>
      <c r="AL123" s="1262">
        <f t="shared" si="172"/>
        <v>810</v>
      </c>
      <c r="AM123" s="623">
        <v>15</v>
      </c>
      <c r="AN123" s="859">
        <f>196+23+AM123</f>
        <v>234</v>
      </c>
      <c r="AO123" s="856">
        <f t="shared" si="173"/>
        <v>66.300000000000011</v>
      </c>
      <c r="AP123" s="1065"/>
      <c r="AQ123" s="1015" t="s">
        <v>1193</v>
      </c>
      <c r="AR123" s="276">
        <f t="shared" si="174"/>
        <v>225.4</v>
      </c>
      <c r="AS123" s="261">
        <f t="shared" si="175"/>
        <v>300.3</v>
      </c>
      <c r="AT123" s="261">
        <f t="shared" si="189"/>
        <v>234</v>
      </c>
      <c r="AU123" s="804">
        <f t="shared" si="176"/>
        <v>104.90000000000009</v>
      </c>
      <c r="AV123" s="343">
        <f t="shared" si="177"/>
        <v>810</v>
      </c>
      <c r="AY123" s="382"/>
      <c r="AZ123" s="833"/>
      <c r="BB123" s="834"/>
      <c r="BC123" s="835"/>
      <c r="BD123" s="1155">
        <f t="shared" si="190"/>
        <v>43</v>
      </c>
      <c r="BE123" s="836"/>
      <c r="BF123" s="837"/>
    </row>
    <row r="124" spans="1:63" s="832" customFormat="1" ht="16" customHeight="1">
      <c r="A124" s="896">
        <f t="shared" si="191"/>
        <v>46</v>
      </c>
      <c r="B124" s="889">
        <f>B123+1</f>
        <v>44</v>
      </c>
      <c r="C124" s="860" t="s">
        <v>1076</v>
      </c>
      <c r="D124" s="1486">
        <v>429</v>
      </c>
      <c r="E124" s="656">
        <f t="shared" si="158"/>
        <v>858</v>
      </c>
      <c r="F124" s="1583">
        <f>2*436</f>
        <v>872</v>
      </c>
      <c r="G124" s="671">
        <f t="shared" si="159"/>
        <v>1002.8</v>
      </c>
      <c r="H124" s="624">
        <f t="shared" si="192"/>
        <v>197.34</v>
      </c>
      <c r="I124" s="653">
        <f t="shared" si="193"/>
        <v>108.53700000000001</v>
      </c>
      <c r="J124" s="1090">
        <v>176</v>
      </c>
      <c r="K124" s="656">
        <v>30</v>
      </c>
      <c r="L124" s="1090">
        <v>142</v>
      </c>
      <c r="M124" s="1090">
        <v>15</v>
      </c>
      <c r="N124" s="1090">
        <f>200-120</f>
        <v>80</v>
      </c>
      <c r="O124" s="656" t="s">
        <v>154</v>
      </c>
      <c r="P124" s="656" t="s">
        <v>154</v>
      </c>
      <c r="Q124" s="656">
        <f t="shared" si="161"/>
        <v>443</v>
      </c>
      <c r="R124" s="743">
        <f t="shared" si="178"/>
        <v>886</v>
      </c>
      <c r="S124" s="851">
        <f t="shared" si="179"/>
        <v>1028</v>
      </c>
      <c r="T124" s="644">
        <v>35.65</v>
      </c>
      <c r="U124" s="639">
        <v>93</v>
      </c>
      <c r="V124" s="852">
        <v>1</v>
      </c>
      <c r="W124" s="648" t="s">
        <v>154</v>
      </c>
      <c r="X124" s="653">
        <f t="shared" si="164"/>
        <v>129.65</v>
      </c>
      <c r="Y124" s="532">
        <f t="shared" si="180"/>
        <v>259.3</v>
      </c>
      <c r="Z124" s="525">
        <f t="shared" si="181"/>
        <v>282.3</v>
      </c>
      <c r="AA124" s="624">
        <f t="shared" si="182"/>
        <v>84.960000000000008</v>
      </c>
      <c r="AB124" s="653">
        <f t="shared" si="183"/>
        <v>173.76300000000001</v>
      </c>
      <c r="AC124" s="853">
        <f>326-0</f>
        <v>326</v>
      </c>
      <c r="AD124" s="624">
        <f t="shared" si="184"/>
        <v>102.187</v>
      </c>
      <c r="AE124" s="653">
        <f t="shared" si="185"/>
        <v>138.83699999999999</v>
      </c>
      <c r="AF124" s="830">
        <f t="shared" si="186"/>
        <v>277.67399999999998</v>
      </c>
      <c r="AG124" s="369">
        <f t="shared" si="187"/>
        <v>300.67399999999998</v>
      </c>
      <c r="AH124" s="854">
        <f t="shared" si="171"/>
        <v>192.13699999999997</v>
      </c>
      <c r="AI124" s="1263" t="s">
        <v>785</v>
      </c>
      <c r="AJ124" s="1482">
        <v>103</v>
      </c>
      <c r="AK124" s="1262">
        <f t="shared" si="188"/>
        <v>438</v>
      </c>
      <c r="AL124" s="1262">
        <f t="shared" si="172"/>
        <v>590</v>
      </c>
      <c r="AM124" s="623">
        <f>31</f>
        <v>31</v>
      </c>
      <c r="AN124" s="859">
        <f>196+23+AM124</f>
        <v>250</v>
      </c>
      <c r="AO124" s="856">
        <f t="shared" si="173"/>
        <v>32.300000000000011</v>
      </c>
      <c r="AP124" s="1065"/>
      <c r="AQ124" s="860" t="s">
        <v>1194</v>
      </c>
      <c r="AR124" s="276">
        <f t="shared" si="174"/>
        <v>197.34</v>
      </c>
      <c r="AS124" s="261">
        <f t="shared" si="175"/>
        <v>282.3</v>
      </c>
      <c r="AT124" s="261">
        <f t="shared" si="189"/>
        <v>250</v>
      </c>
      <c r="AU124" s="804">
        <f t="shared" si="176"/>
        <v>25.200000000000045</v>
      </c>
      <c r="AV124" s="343">
        <f t="shared" si="177"/>
        <v>590</v>
      </c>
      <c r="AY124" s="382"/>
      <c r="AZ124" s="833"/>
      <c r="BB124" s="834"/>
      <c r="BC124" s="835"/>
      <c r="BD124" s="1155">
        <f t="shared" si="190"/>
        <v>44</v>
      </c>
      <c r="BE124" s="836"/>
      <c r="BF124" s="837"/>
      <c r="BH124" s="135"/>
    </row>
    <row r="125" spans="1:63" ht="304" customHeight="1">
      <c r="A125" s="896"/>
      <c r="C125" s="1481" t="s">
        <v>1077</v>
      </c>
      <c r="D125" s="1915" t="s">
        <v>1067</v>
      </c>
      <c r="E125" s="1688"/>
      <c r="F125" s="1460" t="s">
        <v>1030</v>
      </c>
      <c r="G125" s="1408" t="s">
        <v>1031</v>
      </c>
      <c r="H125" s="1461" t="s">
        <v>540</v>
      </c>
      <c r="I125" s="1027"/>
      <c r="J125" s="974" t="s">
        <v>1162</v>
      </c>
      <c r="K125" s="1426" t="s">
        <v>1068</v>
      </c>
      <c r="L125" s="1464" t="s">
        <v>1069</v>
      </c>
      <c r="M125" s="399"/>
      <c r="N125" s="399"/>
      <c r="O125" s="14"/>
      <c r="P125" s="172"/>
      <c r="Q125" s="172"/>
      <c r="R125" s="146"/>
      <c r="S125" s="1463" t="s">
        <v>1052</v>
      </c>
      <c r="T125" s="1410" t="s">
        <v>1164</v>
      </c>
      <c r="U125" s="1464" t="s">
        <v>999</v>
      </c>
      <c r="V125" s="1410" t="s">
        <v>1074</v>
      </c>
      <c r="W125" s="52"/>
      <c r="X125" s="52"/>
      <c r="Y125" s="120"/>
      <c r="Z125" s="553" t="s">
        <v>1051</v>
      </c>
      <c r="AA125" s="174"/>
      <c r="AB125" s="1351" t="s">
        <v>541</v>
      </c>
      <c r="AC125" s="1455" t="s">
        <v>1080</v>
      </c>
      <c r="AD125" s="1454" t="s">
        <v>542</v>
      </c>
      <c r="AE125" s="140"/>
      <c r="AF125" s="214"/>
      <c r="AG125" s="553" t="s">
        <v>1051</v>
      </c>
      <c r="AH125" s="855"/>
      <c r="AI125" s="214"/>
      <c r="AJ125" s="1371" t="s">
        <v>1150</v>
      </c>
      <c r="AK125" s="858"/>
      <c r="AL125" s="831"/>
      <c r="AM125" s="831"/>
      <c r="AN125" s="1411" t="s">
        <v>1054</v>
      </c>
      <c r="AO125" s="857"/>
      <c r="AP125" s="1053"/>
      <c r="AQ125" s="69"/>
    </row>
    <row r="126" spans="1:63">
      <c r="C126" s="83"/>
      <c r="D126" s="83"/>
      <c r="E126" s="59"/>
      <c r="F126" s="60"/>
      <c r="G126" s="846"/>
      <c r="H126" s="61"/>
      <c r="I126" s="69"/>
      <c r="J126" s="69"/>
      <c r="K126" s="69"/>
      <c r="L126" s="69"/>
      <c r="M126" s="69"/>
      <c r="N126" s="69"/>
      <c r="O126" s="69"/>
      <c r="P126" s="69"/>
      <c r="Q126" s="69"/>
      <c r="R126" s="54"/>
      <c r="S126" s="52"/>
      <c r="T126" s="52"/>
      <c r="U126" s="52"/>
      <c r="V126" s="52"/>
      <c r="W126" s="52"/>
      <c r="X126" s="52"/>
      <c r="Y126" s="79"/>
      <c r="Z126" s="47"/>
      <c r="AA126" s="70"/>
      <c r="AB126" s="94"/>
      <c r="AC126" s="64"/>
      <c r="AD126" s="64"/>
      <c r="AE126" s="64"/>
      <c r="AF126" s="70"/>
      <c r="AG126" s="47"/>
      <c r="AH126" s="70"/>
      <c r="AI126" s="70"/>
      <c r="AJ126" s="71"/>
      <c r="AK126" s="72"/>
      <c r="AL126" s="132"/>
      <c r="AM126" s="132"/>
      <c r="AN126" s="848"/>
      <c r="AO126" s="848"/>
      <c r="AP126" s="1053"/>
      <c r="AQ126" s="69"/>
      <c r="AV126" s="1"/>
    </row>
    <row r="127" spans="1:63" ht="33">
      <c r="B127" s="1579" t="s">
        <v>164</v>
      </c>
      <c r="C127" s="1560" t="s">
        <v>35</v>
      </c>
      <c r="D127" s="1933" t="s">
        <v>2</v>
      </c>
      <c r="E127" s="1933"/>
      <c r="F127" s="1933"/>
      <c r="G127" s="1933"/>
      <c r="H127" s="1933"/>
      <c r="I127" s="1770"/>
      <c r="J127" s="1788" t="s">
        <v>645</v>
      </c>
      <c r="K127" s="1789"/>
      <c r="L127" s="1790"/>
      <c r="M127" s="1790"/>
      <c r="N127" s="1790"/>
      <c r="O127" s="1790"/>
      <c r="P127" s="1791"/>
      <c r="Q127" s="1790"/>
      <c r="R127" s="1684" t="s">
        <v>882</v>
      </c>
      <c r="S127" s="1779"/>
      <c r="T127" s="1880" t="s">
        <v>664</v>
      </c>
      <c r="U127" s="1881"/>
      <c r="V127" s="1881"/>
      <c r="W127" s="1881"/>
      <c r="X127" s="1881"/>
      <c r="Y127" s="1811" t="s">
        <v>648</v>
      </c>
      <c r="Z127" s="1812"/>
      <c r="AA127" s="1276"/>
      <c r="AB127" s="1276"/>
      <c r="AC127" s="1784" t="s">
        <v>162</v>
      </c>
      <c r="AD127" s="1785"/>
      <c r="AE127" s="1785"/>
      <c r="AF127" s="1782" t="s">
        <v>883</v>
      </c>
      <c r="AG127" s="1783"/>
      <c r="AH127" s="1457"/>
      <c r="AI127" s="1823" t="s">
        <v>167</v>
      </c>
      <c r="AJ127" s="1906"/>
      <c r="AK127" s="1906"/>
      <c r="AL127" s="1906"/>
      <c r="AM127" s="1906"/>
      <c r="AN127" s="1907"/>
      <c r="AO127" s="848"/>
      <c r="AP127" s="1053"/>
      <c r="AQ127" s="172"/>
      <c r="AR127" s="509"/>
      <c r="AS127" s="509"/>
      <c r="AT127" s="509"/>
      <c r="AU127" s="509"/>
      <c r="AV127" s="509"/>
      <c r="AW127" s="513" t="s">
        <v>105</v>
      </c>
      <c r="AX127" s="14"/>
      <c r="AY127" s="14"/>
      <c r="AZ127" s="14"/>
      <c r="BA127" s="14"/>
      <c r="BB127" s="14"/>
      <c r="BC127" s="216"/>
      <c r="BD127" s="216"/>
      <c r="BE127" s="216"/>
      <c r="BF127" s="14"/>
      <c r="BG127" s="14"/>
      <c r="BH127" s="14"/>
      <c r="BI127" s="14"/>
      <c r="BJ127" s="14"/>
      <c r="BK127" s="14"/>
    </row>
    <row r="128" spans="1:63">
      <c r="C128" s="505"/>
      <c r="D128" s="226">
        <v>1</v>
      </c>
      <c r="E128" s="230">
        <f>D128+1</f>
        <v>2</v>
      </c>
      <c r="F128" s="230">
        <f t="shared" ref="F128" si="194">E128+1</f>
        <v>3</v>
      </c>
      <c r="G128" s="230">
        <f t="shared" ref="G128" si="195">F128+1</f>
        <v>4</v>
      </c>
      <c r="H128" s="230">
        <f t="shared" ref="H128" si="196">G128+1</f>
        <v>5</v>
      </c>
      <c r="I128" s="228">
        <f t="shared" ref="I128" si="197">H128+1</f>
        <v>6</v>
      </c>
      <c r="J128" s="226">
        <f t="shared" ref="J128" si="198">I128+1</f>
        <v>7</v>
      </c>
      <c r="K128" s="230">
        <f t="shared" ref="K128" si="199">J128+1</f>
        <v>8</v>
      </c>
      <c r="L128" s="230">
        <f t="shared" ref="L128" si="200">K128+1</f>
        <v>9</v>
      </c>
      <c r="M128" s="230">
        <f t="shared" ref="M128" si="201">L128+1</f>
        <v>10</v>
      </c>
      <c r="N128" s="230">
        <f t="shared" ref="N128" si="202">M128+1</f>
        <v>11</v>
      </c>
      <c r="O128" s="230">
        <f t="shared" ref="O128" si="203">N128+1</f>
        <v>12</v>
      </c>
      <c r="P128" s="230">
        <f t="shared" ref="P128" si="204">O128+1</f>
        <v>13</v>
      </c>
      <c r="Q128" s="228">
        <f t="shared" ref="Q128" si="205">P128+1</f>
        <v>14</v>
      </c>
      <c r="R128" s="226">
        <f t="shared" ref="R128" si="206">Q128+1</f>
        <v>15</v>
      </c>
      <c r="S128" s="228">
        <v>16</v>
      </c>
      <c r="T128" s="226">
        <v>17</v>
      </c>
      <c r="U128" s="230">
        <v>18</v>
      </c>
      <c r="V128" s="230">
        <f>U128+1</f>
        <v>19</v>
      </c>
      <c r="W128" s="230">
        <f>V128+1</f>
        <v>20</v>
      </c>
      <c r="X128" s="230">
        <f>W128+1</f>
        <v>21</v>
      </c>
      <c r="Y128" s="1041">
        <f>X128+1</f>
        <v>22</v>
      </c>
      <c r="Z128" s="1042">
        <f>Y128+1</f>
        <v>23</v>
      </c>
      <c r="AA128" s="226">
        <f t="shared" ref="AA128" si="207">Z128+1</f>
        <v>24</v>
      </c>
      <c r="AB128" s="228">
        <f t="shared" ref="AB128" si="208">AA128+1</f>
        <v>25</v>
      </c>
      <c r="AC128" s="226">
        <f t="shared" ref="AC128" si="209">AB128+1</f>
        <v>26</v>
      </c>
      <c r="AD128" s="230">
        <f t="shared" ref="AD128" si="210">AC128+1</f>
        <v>27</v>
      </c>
      <c r="AE128" s="228">
        <f t="shared" ref="AE128" si="211">AD128+1</f>
        <v>28</v>
      </c>
      <c r="AF128" s="226">
        <f t="shared" ref="AF128" si="212">AE128+1</f>
        <v>29</v>
      </c>
      <c r="AG128" s="230">
        <f t="shared" ref="AG128" si="213">AF128+1</f>
        <v>30</v>
      </c>
      <c r="AH128" s="1174">
        <f>AG128+1</f>
        <v>31</v>
      </c>
      <c r="AI128" s="109">
        <f>AH128+1</f>
        <v>32</v>
      </c>
      <c r="AJ128" s="50">
        <f>AI128+1</f>
        <v>33</v>
      </c>
      <c r="AK128" s="230">
        <f t="shared" ref="AK128" si="214">AJ128+1</f>
        <v>34</v>
      </c>
      <c r="AL128" s="230">
        <f t="shared" ref="AL128" si="215">AK128+1</f>
        <v>35</v>
      </c>
      <c r="AM128" s="50">
        <f>AL128+1</f>
        <v>36</v>
      </c>
      <c r="AN128" s="110">
        <f>AM128+1</f>
        <v>37</v>
      </c>
      <c r="AO128" s="226">
        <f t="shared" ref="AO128" si="216">AN128+1</f>
        <v>38</v>
      </c>
      <c r="AP128" s="1064"/>
      <c r="AQ128" s="93"/>
      <c r="AR128" s="93"/>
      <c r="AS128" s="586"/>
      <c r="AT128" s="108"/>
      <c r="AU128" s="125"/>
      <c r="AV128" s="93"/>
      <c r="AW128" s="93"/>
      <c r="AX128" s="93"/>
      <c r="AY128" s="93"/>
      <c r="AZ128" s="93"/>
      <c r="BA128" s="93"/>
      <c r="BB128" s="93"/>
      <c r="BC128" s="134"/>
      <c r="BD128" s="134"/>
      <c r="BE128" s="134"/>
      <c r="BF128" s="93"/>
      <c r="BG128" s="93"/>
      <c r="BH128" s="93"/>
      <c r="BI128" s="93"/>
      <c r="BJ128" s="93"/>
      <c r="BK128" s="93"/>
    </row>
    <row r="129" spans="1:60" ht="130" customHeight="1">
      <c r="C129" s="1311" t="s">
        <v>1073</v>
      </c>
      <c r="D129" s="1484" t="s">
        <v>598</v>
      </c>
      <c r="E129" s="1405" t="s">
        <v>400</v>
      </c>
      <c r="F129" s="1485" t="s">
        <v>246</v>
      </c>
      <c r="G129" s="1240" t="s">
        <v>234</v>
      </c>
      <c r="H129" s="805" t="s">
        <v>1028</v>
      </c>
      <c r="I129" s="1002" t="s">
        <v>248</v>
      </c>
      <c r="J129" s="1312" t="s">
        <v>401</v>
      </c>
      <c r="K129" s="1312" t="s">
        <v>402</v>
      </c>
      <c r="L129" s="1312" t="s">
        <v>589</v>
      </c>
      <c r="M129" s="1312" t="s">
        <v>590</v>
      </c>
      <c r="N129" s="1312" t="s">
        <v>592</v>
      </c>
      <c r="O129" s="1312" t="s">
        <v>254</v>
      </c>
      <c r="P129" s="1312" t="s">
        <v>404</v>
      </c>
      <c r="Q129" s="1348" t="s">
        <v>256</v>
      </c>
      <c r="R129" s="602" t="s">
        <v>383</v>
      </c>
      <c r="S129" s="457" t="s">
        <v>384</v>
      </c>
      <c r="T129" s="1013" t="s">
        <v>593</v>
      </c>
      <c r="U129" s="1010" t="s">
        <v>594</v>
      </c>
      <c r="V129" s="1010" t="s">
        <v>595</v>
      </c>
      <c r="W129" s="872" t="s">
        <v>597</v>
      </c>
      <c r="X129" s="1020" t="s">
        <v>367</v>
      </c>
      <c r="Y129" s="523" t="s">
        <v>995</v>
      </c>
      <c r="Z129" s="599" t="s">
        <v>996</v>
      </c>
      <c r="AA129" s="1010" t="s">
        <v>1083</v>
      </c>
      <c r="AB129" s="1010" t="s">
        <v>1082</v>
      </c>
      <c r="AC129" s="1239" t="s">
        <v>1084</v>
      </c>
      <c r="AD129" s="872" t="s">
        <v>599</v>
      </c>
      <c r="AE129" s="1010" t="s">
        <v>269</v>
      </c>
      <c r="AF129" s="605" t="s">
        <v>350</v>
      </c>
      <c r="AG129" s="1168" t="s">
        <v>270</v>
      </c>
      <c r="AH129" s="1087" t="s">
        <v>271</v>
      </c>
      <c r="AI129" s="1266" t="s">
        <v>808</v>
      </c>
      <c r="AJ129" s="1267" t="s">
        <v>809</v>
      </c>
      <c r="AK129" s="1466" t="s">
        <v>14</v>
      </c>
      <c r="AL129" s="1466" t="s">
        <v>1</v>
      </c>
      <c r="AM129" s="1010" t="s">
        <v>810</v>
      </c>
      <c r="AN129" s="1020" t="s">
        <v>746</v>
      </c>
      <c r="AO129" s="239" t="s">
        <v>272</v>
      </c>
      <c r="AP129" s="1053"/>
      <c r="AQ129" s="1311" t="s">
        <v>1073</v>
      </c>
      <c r="AR129" s="805" t="s">
        <v>357</v>
      </c>
      <c r="AS129" s="988" t="s">
        <v>273</v>
      </c>
      <c r="AT129" s="805" t="s">
        <v>746</v>
      </c>
      <c r="AU129" s="1008" t="s">
        <v>811</v>
      </c>
      <c r="AV129" s="1008" t="s">
        <v>745</v>
      </c>
      <c r="AX129" s="138"/>
      <c r="AY129" s="660"/>
      <c r="AZ129" s="106"/>
      <c r="BA129" s="151"/>
      <c r="BC129" s="662"/>
      <c r="BD129" s="1149" t="s">
        <v>822</v>
      </c>
      <c r="BE129" s="1112"/>
      <c r="BF129" s="1112"/>
    </row>
    <row r="130" spans="1:60" s="299" customFormat="1">
      <c r="A130" s="942">
        <f>A124+1</f>
        <v>47</v>
      </c>
      <c r="B130" s="889">
        <f>B124+1</f>
        <v>45</v>
      </c>
      <c r="C130" s="1072" t="s">
        <v>602</v>
      </c>
      <c r="D130" s="607">
        <v>490</v>
      </c>
      <c r="E130" s="671">
        <f t="shared" ref="E130:E131" si="217">(2*D130)</f>
        <v>980</v>
      </c>
      <c r="F130" s="862">
        <f>(2*495)</f>
        <v>990</v>
      </c>
      <c r="G130" s="656">
        <f t="shared" ref="G130:G131" si="218">F130*1.15</f>
        <v>1138.5</v>
      </c>
      <c r="H130" s="624">
        <f t="shared" ref="H130:H131" si="219">(E130*0.23)</f>
        <v>225.4</v>
      </c>
      <c r="I130" s="624">
        <f t="shared" ref="I130:I131" si="220">0.5*(H130*1.1)</f>
        <v>123.97000000000001</v>
      </c>
      <c r="J130" s="1382">
        <v>176</v>
      </c>
      <c r="K130" s="672">
        <v>30</v>
      </c>
      <c r="L130" s="672">
        <f>188-19</f>
        <v>169</v>
      </c>
      <c r="M130" s="672" t="s">
        <v>154</v>
      </c>
      <c r="N130" s="672" t="s">
        <v>154</v>
      </c>
      <c r="O130" s="672" t="s">
        <v>154</v>
      </c>
      <c r="P130" s="672" t="s">
        <v>154</v>
      </c>
      <c r="Q130" s="672">
        <f t="shared" ref="Q130:Q134" si="221">SUM(J130:P130)</f>
        <v>375</v>
      </c>
      <c r="R130" s="743">
        <f t="shared" ref="R130" si="222">2*Q130</f>
        <v>750</v>
      </c>
      <c r="S130" s="744">
        <f t="shared" ref="S130" si="223">R130+(2*71)</f>
        <v>892</v>
      </c>
      <c r="T130" s="644">
        <v>35.65</v>
      </c>
      <c r="U130" s="639">
        <v>93</v>
      </c>
      <c r="V130" s="648" t="s">
        <v>154</v>
      </c>
      <c r="W130" s="648" t="s">
        <v>154</v>
      </c>
      <c r="X130" s="624">
        <f t="shared" ref="X130:X134" si="224">SUM(T130:W130)</f>
        <v>128.65</v>
      </c>
      <c r="Y130" s="524">
        <f t="shared" ref="Y130" si="225">2*X130</f>
        <v>257.3</v>
      </c>
      <c r="Z130" s="525">
        <f>(Y130+(23))</f>
        <v>280.3</v>
      </c>
      <c r="AA130" s="624">
        <f t="shared" ref="AA130" si="226">Z130-H130</f>
        <v>54.900000000000006</v>
      </c>
      <c r="AB130" s="653">
        <f t="shared" ref="AB130" si="227">(Z130)-(I130)</f>
        <v>156.32999999999998</v>
      </c>
      <c r="AC130" s="663">
        <f>466-15</f>
        <v>451</v>
      </c>
      <c r="AD130" s="624">
        <f t="shared" ref="AD130" si="228">(33.89)+(AC130*0.2095)</f>
        <v>128.37450000000001</v>
      </c>
      <c r="AE130" s="624">
        <f t="shared" ref="AE130" si="229">X130-U130+AD130</f>
        <v>164.02450000000002</v>
      </c>
      <c r="AF130" s="322">
        <f t="shared" ref="AF130" si="230">2*AE130</f>
        <v>328.04900000000004</v>
      </c>
      <c r="AG130" s="369">
        <f t="shared" ref="AG130" si="231">AF130+(23)</f>
        <v>351.04900000000004</v>
      </c>
      <c r="AH130" s="1175">
        <f>AG130-I130</f>
        <v>227.07900000000001</v>
      </c>
      <c r="AI130" s="1263" t="s">
        <v>786</v>
      </c>
      <c r="AJ130" s="673">
        <v>87</v>
      </c>
      <c r="AK130" s="1262">
        <f t="shared" ref="AK130:AK134" si="232">(2*AJ130)+(2*71)+(2*45)</f>
        <v>406</v>
      </c>
      <c r="AL130" s="673">
        <f>S130-AK130</f>
        <v>486</v>
      </c>
      <c r="AM130" s="624">
        <v>15</v>
      </c>
      <c r="AN130" s="273">
        <f>195+(23)+AM130</f>
        <v>233</v>
      </c>
      <c r="AO130" s="274">
        <f>Z130-AN130</f>
        <v>47.300000000000011</v>
      </c>
      <c r="AP130" s="1065"/>
      <c r="AQ130" s="1073" t="s">
        <v>601</v>
      </c>
      <c r="AR130" s="276">
        <f>H130</f>
        <v>225.4</v>
      </c>
      <c r="AS130" s="276">
        <f>Z130</f>
        <v>280.3</v>
      </c>
      <c r="AT130" s="276">
        <f>AN130</f>
        <v>233</v>
      </c>
      <c r="AU130" s="804">
        <f>S130-G130</f>
        <v>-246.5</v>
      </c>
      <c r="AV130" s="364">
        <f>S130-AK130</f>
        <v>486</v>
      </c>
      <c r="AX130" s="381"/>
      <c r="AY130" s="276"/>
      <c r="AZ130" s="382"/>
      <c r="BA130" s="383"/>
      <c r="BC130" s="838"/>
      <c r="BD130" s="1155">
        <f>B130</f>
        <v>45</v>
      </c>
      <c r="BF130" s="839"/>
      <c r="BH130" s="135"/>
    </row>
    <row r="131" spans="1:60" s="544" customFormat="1">
      <c r="A131" s="942">
        <f>A130+1</f>
        <v>48</v>
      </c>
      <c r="B131" s="889">
        <f>B130+1</f>
        <v>46</v>
      </c>
      <c r="C131" s="1072" t="s">
        <v>582</v>
      </c>
      <c r="D131" s="1486">
        <v>454</v>
      </c>
      <c r="E131" s="671">
        <f t="shared" si="217"/>
        <v>908</v>
      </c>
      <c r="F131" s="862">
        <f>(2*459)</f>
        <v>918</v>
      </c>
      <c r="G131" s="671">
        <f t="shared" si="218"/>
        <v>1055.6999999999998</v>
      </c>
      <c r="H131" s="624">
        <f t="shared" si="219"/>
        <v>208.84</v>
      </c>
      <c r="I131" s="624">
        <f t="shared" si="220"/>
        <v>114.86200000000001</v>
      </c>
      <c r="J131" s="1382">
        <v>176</v>
      </c>
      <c r="K131" s="672">
        <v>30</v>
      </c>
      <c r="L131" s="672">
        <v>142</v>
      </c>
      <c r="M131" s="672">
        <v>15</v>
      </c>
      <c r="N131" s="672">
        <f>200-60</f>
        <v>140</v>
      </c>
      <c r="O131" s="672" t="s">
        <v>154</v>
      </c>
      <c r="P131" s="672" t="s">
        <v>154</v>
      </c>
      <c r="Q131" s="672">
        <f t="shared" si="221"/>
        <v>503</v>
      </c>
      <c r="R131" s="743">
        <f t="shared" ref="R131" si="233">2*Q131</f>
        <v>1006</v>
      </c>
      <c r="S131" s="744">
        <f t="shared" ref="S131" si="234">R131+(2*71)</f>
        <v>1148</v>
      </c>
      <c r="T131" s="644">
        <v>35.65</v>
      </c>
      <c r="U131" s="639">
        <v>93</v>
      </c>
      <c r="V131" s="639">
        <v>1</v>
      </c>
      <c r="W131" s="648" t="s">
        <v>154</v>
      </c>
      <c r="X131" s="624">
        <f t="shared" si="224"/>
        <v>129.65</v>
      </c>
      <c r="Y131" s="524">
        <f t="shared" ref="Y131:Y132" si="235">2*X131</f>
        <v>259.3</v>
      </c>
      <c r="Z131" s="525">
        <f>(Y131+(23))</f>
        <v>282.3</v>
      </c>
      <c r="AA131" s="624">
        <f t="shared" ref="AA131:AA132" si="236">Z131-H131</f>
        <v>73.460000000000008</v>
      </c>
      <c r="AB131" s="653">
        <f t="shared" ref="AB131:AB132" si="237">(Z131)-(I131)</f>
        <v>167.43799999999999</v>
      </c>
      <c r="AC131" s="663">
        <v>326</v>
      </c>
      <c r="AD131" s="624">
        <f t="shared" ref="AD131:AD134" si="238">(33.89)+(AC131*0.2095)</f>
        <v>102.187</v>
      </c>
      <c r="AE131" s="624">
        <f t="shared" ref="AE131:AE134" si="239">X131-U131+AD131</f>
        <v>138.83699999999999</v>
      </c>
      <c r="AF131" s="322">
        <f t="shared" ref="AF131" si="240">2*AE131</f>
        <v>277.67399999999998</v>
      </c>
      <c r="AG131" s="369">
        <f t="shared" ref="AG131" si="241">AF131+(23)</f>
        <v>300.67399999999998</v>
      </c>
      <c r="AH131" s="1175">
        <f>AG131-I131</f>
        <v>185.81199999999995</v>
      </c>
      <c r="AI131" s="1263" t="s">
        <v>785</v>
      </c>
      <c r="AJ131" s="672">
        <v>103</v>
      </c>
      <c r="AK131" s="1262">
        <f t="shared" si="232"/>
        <v>438</v>
      </c>
      <c r="AL131" s="673">
        <f>S131-AK131</f>
        <v>710</v>
      </c>
      <c r="AM131" s="624">
        <v>15</v>
      </c>
      <c r="AN131" s="373">
        <f>196+(23)+AM131</f>
        <v>234</v>
      </c>
      <c r="AO131" s="274">
        <f>Z131-AN131</f>
        <v>48.300000000000011</v>
      </c>
      <c r="AP131" s="1066"/>
      <c r="AQ131" s="1073" t="s">
        <v>600</v>
      </c>
      <c r="AR131" s="276">
        <f>H131</f>
        <v>208.84</v>
      </c>
      <c r="AS131" s="276">
        <f>Z131</f>
        <v>282.3</v>
      </c>
      <c r="AT131" s="276">
        <f t="shared" ref="AT131:AT134" si="242">AN131</f>
        <v>234</v>
      </c>
      <c r="AU131" s="804">
        <f>S131-G131</f>
        <v>92.300000000000182</v>
      </c>
      <c r="AV131" s="364">
        <f>S131-AK131</f>
        <v>710</v>
      </c>
      <c r="BC131" s="255"/>
      <c r="BD131" s="1155">
        <f t="shared" ref="BD131:BD134" si="243">B131</f>
        <v>46</v>
      </c>
      <c r="BH131" s="135"/>
    </row>
    <row r="132" spans="1:60" s="832" customFormat="1" ht="16" customHeight="1">
      <c r="A132" s="896">
        <f>A131+1</f>
        <v>49</v>
      </c>
      <c r="B132" s="889">
        <f t="shared" ref="B132:B134" si="244">B131+1</f>
        <v>47</v>
      </c>
      <c r="C132" s="874" t="s">
        <v>584</v>
      </c>
      <c r="D132" s="663">
        <v>500</v>
      </c>
      <c r="E132" s="671">
        <f>2*D132</f>
        <v>1000</v>
      </c>
      <c r="F132" s="671">
        <f>(2*500)</f>
        <v>1000</v>
      </c>
      <c r="G132" s="671">
        <f>F132*1.15</f>
        <v>1150</v>
      </c>
      <c r="H132" s="816">
        <f>(E132*0.23)</f>
        <v>230</v>
      </c>
      <c r="I132" s="373">
        <f>0.5*(H132*1.1)</f>
        <v>126.50000000000001</v>
      </c>
      <c r="J132" s="1382">
        <v>176</v>
      </c>
      <c r="K132" s="672">
        <v>30</v>
      </c>
      <c r="L132" s="672">
        <v>142</v>
      </c>
      <c r="M132" s="672">
        <v>15</v>
      </c>
      <c r="N132" s="672">
        <v>200</v>
      </c>
      <c r="O132" s="672" t="s">
        <v>154</v>
      </c>
      <c r="P132" s="672" t="s">
        <v>154</v>
      </c>
      <c r="Q132" s="672">
        <f t="shared" si="221"/>
        <v>563</v>
      </c>
      <c r="R132" s="610">
        <f>2*Q132</f>
        <v>1126</v>
      </c>
      <c r="S132" s="747">
        <f>R132+(2*71)</f>
        <v>1268</v>
      </c>
      <c r="T132" s="644">
        <v>35.65</v>
      </c>
      <c r="U132" s="639">
        <v>93</v>
      </c>
      <c r="V132" s="639">
        <v>10</v>
      </c>
      <c r="W132" s="624">
        <v>36</v>
      </c>
      <c r="X132" s="624">
        <f t="shared" si="224"/>
        <v>174.65</v>
      </c>
      <c r="Y132" s="524">
        <f t="shared" si="235"/>
        <v>349.3</v>
      </c>
      <c r="Z132" s="525">
        <f t="shared" ref="Z132:Z134" si="245">(Y132+(23))</f>
        <v>372.3</v>
      </c>
      <c r="AA132" s="624">
        <f t="shared" si="236"/>
        <v>142.30000000000001</v>
      </c>
      <c r="AB132" s="653">
        <f t="shared" si="237"/>
        <v>245.8</v>
      </c>
      <c r="AC132" s="663">
        <v>326</v>
      </c>
      <c r="AD132" s="624">
        <f t="shared" si="238"/>
        <v>102.187</v>
      </c>
      <c r="AE132" s="624">
        <f t="shared" si="239"/>
        <v>183.83699999999999</v>
      </c>
      <c r="AF132" s="322">
        <f>2*AE132</f>
        <v>367.67399999999998</v>
      </c>
      <c r="AG132" s="369">
        <f>(AF132)+(23)</f>
        <v>390.67399999999998</v>
      </c>
      <c r="AH132" s="703">
        <f>AG132-I132</f>
        <v>264.17399999999998</v>
      </c>
      <c r="AI132" s="1263" t="s">
        <v>785</v>
      </c>
      <c r="AJ132" s="672">
        <v>103</v>
      </c>
      <c r="AK132" s="1262">
        <f t="shared" si="232"/>
        <v>438</v>
      </c>
      <c r="AL132" s="673">
        <f>S132-AK132</f>
        <v>830</v>
      </c>
      <c r="AM132" s="624" t="s">
        <v>13</v>
      </c>
      <c r="AN132" s="373">
        <f>196+(23)</f>
        <v>219</v>
      </c>
      <c r="AO132" s="816">
        <f>Z132-AN132</f>
        <v>153.30000000000001</v>
      </c>
      <c r="AP132" s="1067"/>
      <c r="AQ132" s="875" t="s">
        <v>650</v>
      </c>
      <c r="AR132" s="276">
        <f t="shared" ref="AR132:AR134" si="246">H132</f>
        <v>230</v>
      </c>
      <c r="AS132" s="276">
        <f>Z132</f>
        <v>372.3</v>
      </c>
      <c r="AT132" s="276">
        <f t="shared" si="242"/>
        <v>219</v>
      </c>
      <c r="AU132" s="804">
        <f>S132-G132</f>
        <v>118</v>
      </c>
      <c r="AV132" s="364">
        <f>S132-AK132</f>
        <v>830</v>
      </c>
      <c r="AY132" s="382"/>
      <c r="AZ132" s="833"/>
      <c r="BB132" s="834"/>
      <c r="BC132" s="835"/>
      <c r="BD132" s="1155">
        <f t="shared" si="243"/>
        <v>47</v>
      </c>
      <c r="BE132" s="836"/>
      <c r="BF132" s="837"/>
    </row>
    <row r="133" spans="1:60" s="544" customFormat="1">
      <c r="A133" s="942">
        <f>A132+1</f>
        <v>50</v>
      </c>
      <c r="B133" s="889">
        <f t="shared" si="244"/>
        <v>48</v>
      </c>
      <c r="C133" s="1072" t="s">
        <v>1178</v>
      </c>
      <c r="D133" s="967">
        <v>496</v>
      </c>
      <c r="E133" s="671">
        <f>(2*D133)</f>
        <v>992</v>
      </c>
      <c r="F133" s="671">
        <f>(2*495)</f>
        <v>990</v>
      </c>
      <c r="G133" s="671">
        <f>F133*1.15</f>
        <v>1138.5</v>
      </c>
      <c r="H133" s="624">
        <f>(E133*0.23)</f>
        <v>228.16</v>
      </c>
      <c r="I133" s="624">
        <f>0.5*(H133*1.1)</f>
        <v>125.48800000000001</v>
      </c>
      <c r="J133" s="1382">
        <v>176</v>
      </c>
      <c r="K133" s="672">
        <v>30</v>
      </c>
      <c r="L133" s="672">
        <v>188</v>
      </c>
      <c r="M133" s="672" t="s">
        <v>154</v>
      </c>
      <c r="N133" s="672" t="s">
        <v>154</v>
      </c>
      <c r="O133" s="672" t="s">
        <v>154</v>
      </c>
      <c r="P133" s="672" t="s">
        <v>154</v>
      </c>
      <c r="Q133" s="672">
        <f t="shared" si="221"/>
        <v>394</v>
      </c>
      <c r="R133" s="743">
        <f>2*Q133</f>
        <v>788</v>
      </c>
      <c r="S133" s="744">
        <f>R133+(2*71)</f>
        <v>930</v>
      </c>
      <c r="T133" s="644">
        <v>35.65</v>
      </c>
      <c r="U133" s="639">
        <v>93</v>
      </c>
      <c r="V133" s="648" t="s">
        <v>154</v>
      </c>
      <c r="W133" s="648" t="s">
        <v>154</v>
      </c>
      <c r="X133" s="624">
        <f t="shared" si="224"/>
        <v>128.65</v>
      </c>
      <c r="Y133" s="524">
        <f t="shared" ref="Y133:Y134" si="247">2*X133</f>
        <v>257.3</v>
      </c>
      <c r="Z133" s="525">
        <f t="shared" si="245"/>
        <v>280.3</v>
      </c>
      <c r="AA133" s="624">
        <f t="shared" ref="AA133:AA134" si="248">Z133-H133</f>
        <v>52.140000000000015</v>
      </c>
      <c r="AB133" s="653">
        <f t="shared" ref="AB133:AB134" si="249">(Z133)-(I133)</f>
        <v>154.81200000000001</v>
      </c>
      <c r="AC133" s="663">
        <f>(493-27)</f>
        <v>466</v>
      </c>
      <c r="AD133" s="624">
        <f t="shared" si="238"/>
        <v>131.517</v>
      </c>
      <c r="AE133" s="624">
        <f t="shared" si="239"/>
        <v>167.167</v>
      </c>
      <c r="AF133" s="322">
        <f>2*AE133</f>
        <v>334.334</v>
      </c>
      <c r="AG133" s="369">
        <f>AF133+(23)</f>
        <v>357.334</v>
      </c>
      <c r="AH133" s="854">
        <f>AG133-I133</f>
        <v>231.846</v>
      </c>
      <c r="AI133" s="1263" t="s">
        <v>786</v>
      </c>
      <c r="AJ133" s="673">
        <v>87</v>
      </c>
      <c r="AK133" s="1262">
        <f t="shared" si="232"/>
        <v>406</v>
      </c>
      <c r="AL133" s="673">
        <f>S133-AK133</f>
        <v>524</v>
      </c>
      <c r="AM133" s="624" t="s">
        <v>13</v>
      </c>
      <c r="AN133" s="273">
        <f>195+(23)</f>
        <v>218</v>
      </c>
      <c r="AO133" s="274">
        <f>Z133-AN133</f>
        <v>62.300000000000011</v>
      </c>
      <c r="AP133" s="1065"/>
      <c r="AQ133" s="1073" t="s">
        <v>835</v>
      </c>
      <c r="AR133" s="276">
        <f t="shared" si="246"/>
        <v>228.16</v>
      </c>
      <c r="AS133" s="276">
        <f>Z133</f>
        <v>280.3</v>
      </c>
      <c r="AT133" s="276">
        <f t="shared" si="242"/>
        <v>218</v>
      </c>
      <c r="AU133" s="804">
        <f>S133-G133</f>
        <v>-208.5</v>
      </c>
      <c r="AV133" s="364">
        <f>S133-AK133</f>
        <v>524</v>
      </c>
      <c r="AX133" s="375"/>
      <c r="AY133" s="183"/>
      <c r="AZ133" s="376"/>
      <c r="BA133" s="377"/>
      <c r="BC133" s="838"/>
      <c r="BD133" s="1155">
        <f t="shared" si="243"/>
        <v>48</v>
      </c>
      <c r="BE133" s="840"/>
      <c r="BF133" s="841"/>
    </row>
    <row r="134" spans="1:60" s="842" customFormat="1">
      <c r="A134" s="1152">
        <f>A133+1</f>
        <v>51</v>
      </c>
      <c r="B134" s="889">
        <f t="shared" si="244"/>
        <v>49</v>
      </c>
      <c r="C134" s="1072" t="s">
        <v>603</v>
      </c>
      <c r="D134" s="968">
        <v>486</v>
      </c>
      <c r="E134" s="672">
        <f>2*D134</f>
        <v>972</v>
      </c>
      <c r="F134" s="969">
        <f>(2*484)</f>
        <v>968</v>
      </c>
      <c r="G134" s="673">
        <f>F134*1.15</f>
        <v>1113.1999999999998</v>
      </c>
      <c r="H134" s="666">
        <f>(E134*0.23)</f>
        <v>223.56</v>
      </c>
      <c r="I134" s="664">
        <f>0.5*(H134*1.1)</f>
        <v>122.95800000000001</v>
      </c>
      <c r="J134" s="1382">
        <v>176</v>
      </c>
      <c r="K134" s="672">
        <v>30</v>
      </c>
      <c r="L134" s="672">
        <v>188</v>
      </c>
      <c r="M134" s="672">
        <f>15+10</f>
        <v>25</v>
      </c>
      <c r="N134" s="672">
        <v>12</v>
      </c>
      <c r="O134" s="672" t="s">
        <v>154</v>
      </c>
      <c r="P134" s="672" t="s">
        <v>154</v>
      </c>
      <c r="Q134" s="672">
        <f t="shared" si="221"/>
        <v>431</v>
      </c>
      <c r="R134" s="743">
        <f>2*Q134</f>
        <v>862</v>
      </c>
      <c r="S134" s="745">
        <f>R134+(2*71)</f>
        <v>1004</v>
      </c>
      <c r="T134" s="644">
        <v>35.65</v>
      </c>
      <c r="U134" s="639">
        <v>93</v>
      </c>
      <c r="V134" s="665">
        <v>3.45</v>
      </c>
      <c r="W134" s="648" t="s">
        <v>154</v>
      </c>
      <c r="X134" s="624">
        <f t="shared" si="224"/>
        <v>132.1</v>
      </c>
      <c r="Y134" s="524">
        <f t="shared" si="247"/>
        <v>264.2</v>
      </c>
      <c r="Z134" s="525">
        <f t="shared" si="245"/>
        <v>287.2</v>
      </c>
      <c r="AA134" s="624">
        <f t="shared" si="248"/>
        <v>63.639999999999986</v>
      </c>
      <c r="AB134" s="653">
        <f t="shared" si="249"/>
        <v>164.24199999999996</v>
      </c>
      <c r="AC134" s="663">
        <f>(493-27)</f>
        <v>466</v>
      </c>
      <c r="AD134" s="624">
        <f t="shared" si="238"/>
        <v>131.517</v>
      </c>
      <c r="AE134" s="624">
        <f t="shared" si="239"/>
        <v>170.61699999999999</v>
      </c>
      <c r="AF134" s="668">
        <f>2*AE134</f>
        <v>341.23399999999998</v>
      </c>
      <c r="AG134" s="1176">
        <f>AF134+(23)</f>
        <v>364.23399999999998</v>
      </c>
      <c r="AH134" s="1177">
        <f>AG134-I134</f>
        <v>241.27599999999995</v>
      </c>
      <c r="AI134" s="1263" t="s">
        <v>787</v>
      </c>
      <c r="AJ134" s="672">
        <v>206</v>
      </c>
      <c r="AK134" s="1262">
        <f t="shared" si="232"/>
        <v>644</v>
      </c>
      <c r="AL134" s="673">
        <f>S134-AK134</f>
        <v>360</v>
      </c>
      <c r="AM134" s="624" t="s">
        <v>13</v>
      </c>
      <c r="AN134" s="664">
        <f>(176)+(23)</f>
        <v>199</v>
      </c>
      <c r="AO134" s="666">
        <f>Z134-AN134</f>
        <v>88.199999999999989</v>
      </c>
      <c r="AP134" s="1068"/>
      <c r="AQ134" s="1073" t="s">
        <v>651</v>
      </c>
      <c r="AR134" s="276">
        <f t="shared" si="246"/>
        <v>223.56</v>
      </c>
      <c r="AS134" s="276">
        <f>Z134</f>
        <v>287.2</v>
      </c>
      <c r="AT134" s="276">
        <f t="shared" si="242"/>
        <v>199</v>
      </c>
      <c r="AU134" s="804">
        <f>S134-G134</f>
        <v>-109.19999999999982</v>
      </c>
      <c r="AV134" s="364">
        <f>S134-AK134</f>
        <v>360</v>
      </c>
      <c r="AY134" s="670"/>
      <c r="AZ134" s="669"/>
      <c r="BA134" s="843"/>
      <c r="BB134" s="843"/>
      <c r="BC134" s="844"/>
      <c r="BD134" s="1155">
        <f t="shared" si="243"/>
        <v>49</v>
      </c>
      <c r="BE134" s="845"/>
    </row>
    <row r="135" spans="1:60" ht="302" customHeight="1">
      <c r="C135" s="1483" t="s">
        <v>1078</v>
      </c>
      <c r="D135" s="1915" t="s">
        <v>1067</v>
      </c>
      <c r="E135" s="1688"/>
      <c r="F135" s="1460" t="s">
        <v>1030</v>
      </c>
      <c r="G135" s="1408" t="s">
        <v>1031</v>
      </c>
      <c r="H135" s="1461" t="s">
        <v>540</v>
      </c>
      <c r="I135" s="1027"/>
      <c r="J135" s="974" t="s">
        <v>1162</v>
      </c>
      <c r="K135" s="1426" t="s">
        <v>1068</v>
      </c>
      <c r="L135" s="1464" t="s">
        <v>1069</v>
      </c>
      <c r="M135" s="1407" t="s">
        <v>591</v>
      </c>
      <c r="N135" s="1074" t="s">
        <v>1079</v>
      </c>
      <c r="O135" s="14"/>
      <c r="P135" s="172"/>
      <c r="Q135" s="172"/>
      <c r="R135" s="146"/>
      <c r="S135" s="1463" t="s">
        <v>1052</v>
      </c>
      <c r="T135" s="399" t="s">
        <v>1166</v>
      </c>
      <c r="U135" s="1350" t="s">
        <v>999</v>
      </c>
      <c r="V135" s="52" t="s">
        <v>596</v>
      </c>
      <c r="W135" s="52"/>
      <c r="X135" s="52"/>
      <c r="Y135" s="120"/>
      <c r="Z135" s="553" t="s">
        <v>1051</v>
      </c>
      <c r="AA135" s="70"/>
      <c r="AB135" s="1351" t="s">
        <v>541</v>
      </c>
      <c r="AC135" s="1455" t="s">
        <v>1081</v>
      </c>
      <c r="AD135" s="1487" t="s">
        <v>542</v>
      </c>
      <c r="AE135" s="140"/>
      <c r="AF135" s="214"/>
      <c r="AG135" s="553" t="s">
        <v>1051</v>
      </c>
      <c r="AH135" s="855"/>
      <c r="AI135" s="214"/>
      <c r="AJ135" s="1371" t="s">
        <v>1150</v>
      </c>
      <c r="AK135" s="204"/>
      <c r="AL135" s="132"/>
      <c r="AM135" s="132"/>
      <c r="AN135" s="1497" t="s">
        <v>1054</v>
      </c>
      <c r="AO135" s="661"/>
      <c r="AP135" s="1053"/>
      <c r="AQ135" s="69"/>
    </row>
    <row r="136" spans="1:60">
      <c r="C136" s="1409"/>
      <c r="AS136"/>
      <c r="AT136"/>
      <c r="AU136"/>
    </row>
    <row r="137" spans="1:60">
      <c r="C137" s="1409"/>
    </row>
    <row r="138" spans="1:60">
      <c r="C138" s="1409"/>
    </row>
    <row r="139" spans="1:60">
      <c r="C139" s="1409"/>
    </row>
    <row r="140" spans="1:60">
      <c r="C140" s="1409"/>
    </row>
    <row r="141" spans="1:60">
      <c r="C141" s="1409"/>
    </row>
    <row r="142" spans="1:60">
      <c r="C142" s="1409"/>
    </row>
    <row r="143" spans="1:60">
      <c r="C143" s="1409"/>
    </row>
    <row r="144" spans="1:60">
      <c r="C144" s="1409"/>
    </row>
    <row r="145" spans="1:58">
      <c r="C145" s="1409"/>
    </row>
    <row r="146" spans="1:58" s="825" customFormat="1" ht="16" customHeight="1">
      <c r="B146" s="817"/>
      <c r="D146" s="861"/>
      <c r="E146" s="862"/>
      <c r="F146" s="819"/>
      <c r="G146" s="819"/>
      <c r="H146" s="820"/>
      <c r="I146" s="820"/>
      <c r="J146" s="820"/>
      <c r="K146" s="820"/>
      <c r="L146" s="820"/>
      <c r="M146" s="820"/>
      <c r="N146" s="820"/>
      <c r="O146" s="820"/>
      <c r="P146" s="820"/>
      <c r="Q146" s="820"/>
      <c r="R146" s="821"/>
      <c r="S146" s="821"/>
      <c r="T146" s="821"/>
      <c r="U146" s="821"/>
      <c r="V146" s="821"/>
      <c r="W146" s="821"/>
      <c r="X146" s="821"/>
      <c r="Y146" s="698"/>
      <c r="Z146" s="818"/>
      <c r="AA146" s="822"/>
      <c r="AB146" s="818"/>
      <c r="AC146" s="818"/>
      <c r="AD146" s="818"/>
      <c r="AE146" s="818"/>
      <c r="AF146" s="823"/>
      <c r="AG146" s="698"/>
      <c r="AH146" s="698"/>
      <c r="AI146" s="698"/>
      <c r="AJ146" s="812"/>
      <c r="AK146" s="812"/>
      <c r="AL146" s="698"/>
      <c r="AM146" s="698"/>
      <c r="AN146" s="698"/>
      <c r="AO146" s="31"/>
      <c r="AP146" s="1057"/>
      <c r="AQ146" s="824"/>
      <c r="AR146" s="813"/>
      <c r="AS146" s="29"/>
      <c r="AT146" s="29"/>
      <c r="AU146" s="29"/>
      <c r="AV146" s="814"/>
      <c r="AY146" s="36"/>
      <c r="AZ146" s="815"/>
      <c r="BB146" s="826"/>
      <c r="BC146" s="827"/>
      <c r="BD146" s="828"/>
      <c r="BE146" s="828"/>
      <c r="BF146" s="829"/>
    </row>
    <row r="147" spans="1:58" s="825" customFormat="1" ht="16" customHeight="1">
      <c r="B147" s="817"/>
      <c r="E147" s="818"/>
      <c r="F147" s="819"/>
      <c r="G147" s="819"/>
      <c r="H147" s="820"/>
      <c r="I147" s="820"/>
      <c r="J147" s="820"/>
      <c r="K147" s="820"/>
      <c r="L147" s="820"/>
      <c r="M147" s="820"/>
      <c r="N147" s="820"/>
      <c r="O147" s="820"/>
      <c r="P147" s="820"/>
      <c r="Q147" s="820"/>
      <c r="R147" s="821"/>
      <c r="S147" s="821"/>
      <c r="T147" s="821"/>
      <c r="U147" s="821"/>
      <c r="V147" s="821"/>
      <c r="W147" s="821"/>
      <c r="X147" s="821"/>
      <c r="Y147" s="698"/>
      <c r="Z147" s="818"/>
      <c r="AA147" s="822"/>
      <c r="AB147" s="818"/>
      <c r="AC147" s="818"/>
      <c r="AD147" s="818"/>
      <c r="AE147" s="818"/>
      <c r="AF147" s="823"/>
      <c r="AG147" s="698"/>
      <c r="AH147" s="698"/>
      <c r="AI147" s="698"/>
      <c r="AJ147" s="812"/>
      <c r="AK147" s="812"/>
      <c r="AL147" s="698"/>
      <c r="AM147" s="698"/>
      <c r="AN147" s="698"/>
      <c r="AO147" s="31"/>
      <c r="AP147" s="1057"/>
      <c r="AQ147" s="824"/>
      <c r="AR147" s="813"/>
      <c r="AS147" s="29"/>
      <c r="AT147" s="29"/>
      <c r="AU147" s="29"/>
      <c r="AV147" s="814"/>
      <c r="AY147" s="36"/>
      <c r="AZ147" s="815"/>
      <c r="BB147" s="826"/>
      <c r="BC147" s="827"/>
      <c r="BD147" s="828"/>
      <c r="BE147" s="828"/>
      <c r="BF147" s="829"/>
    </row>
    <row r="149" spans="1:58" s="14" customFormat="1">
      <c r="A149" s="927"/>
      <c r="B149" s="81"/>
      <c r="C149" s="81"/>
      <c r="D149" s="60"/>
      <c r="E149" s="60"/>
      <c r="F149" s="167"/>
      <c r="G149" s="167"/>
      <c r="H149" s="171"/>
      <c r="I149" s="171"/>
      <c r="J149" s="171"/>
      <c r="K149" s="171"/>
      <c r="L149" s="171"/>
      <c r="M149" s="171"/>
      <c r="N149" s="171"/>
      <c r="O149" s="171"/>
      <c r="P149" s="171"/>
      <c r="Q149" s="171"/>
      <c r="R149" s="52"/>
      <c r="S149" s="52"/>
      <c r="T149" s="52"/>
      <c r="U149" s="52"/>
      <c r="V149" s="52"/>
      <c r="W149" s="52"/>
      <c r="X149" s="52"/>
      <c r="Y149" s="807"/>
      <c r="Z149" s="136"/>
      <c r="AA149" s="101"/>
      <c r="AB149" s="225"/>
      <c r="AC149" s="225"/>
      <c r="AD149" s="225"/>
      <c r="AE149" s="225"/>
      <c r="AF149" s="220"/>
      <c r="AG149" s="807"/>
      <c r="AH149" s="147"/>
      <c r="AI149" s="147"/>
      <c r="AJ149" s="72"/>
      <c r="AK149" s="222"/>
      <c r="AL149" s="807"/>
      <c r="AM149" s="983"/>
      <c r="AN149" s="807"/>
      <c r="AO149" s="232"/>
      <c r="AP149" s="1061"/>
      <c r="AQ149" s="80"/>
      <c r="AR149" s="240"/>
      <c r="AS149" s="238"/>
      <c r="AT149" s="29"/>
      <c r="AU149" s="238"/>
      <c r="AV149" s="202"/>
      <c r="AY149" s="36"/>
      <c r="AZ149" s="152"/>
      <c r="BB149" s="90"/>
      <c r="BC149" s="157"/>
      <c r="BD149" s="156"/>
      <c r="BE149" s="155"/>
      <c r="BF149" s="154"/>
    </row>
    <row r="150" spans="1:58" s="14" customFormat="1">
      <c r="A150" s="927"/>
      <c r="B150" s="81"/>
      <c r="C150" s="81"/>
      <c r="D150" s="60"/>
      <c r="E150" s="60"/>
      <c r="F150" s="167"/>
      <c r="G150" s="167"/>
      <c r="H150" s="171"/>
      <c r="I150" s="171"/>
      <c r="J150" s="171"/>
      <c r="K150" s="171"/>
      <c r="L150" s="171"/>
      <c r="M150" s="171"/>
      <c r="N150" s="171"/>
      <c r="O150" s="171"/>
      <c r="P150" s="171"/>
      <c r="Q150" s="171"/>
      <c r="R150" s="52"/>
      <c r="S150" s="52"/>
      <c r="T150" s="52"/>
      <c r="U150" s="52"/>
      <c r="V150" s="52"/>
      <c r="W150" s="52"/>
      <c r="X150" s="52"/>
      <c r="Y150" s="807"/>
      <c r="Z150" s="136"/>
      <c r="AA150" s="101"/>
      <c r="AB150" s="225"/>
      <c r="AC150" s="225"/>
      <c r="AD150" s="225"/>
      <c r="AE150" s="225"/>
      <c r="AF150" s="220"/>
      <c r="AG150" s="807"/>
      <c r="AH150" s="147"/>
      <c r="AI150" s="147"/>
      <c r="AJ150" s="72"/>
      <c r="AK150" s="222"/>
      <c r="AL150" s="807"/>
      <c r="AM150" s="983"/>
      <c r="AN150" s="807"/>
      <c r="AO150" s="232"/>
      <c r="AP150" s="1061"/>
      <c r="AQ150" s="80"/>
      <c r="AR150" s="240"/>
      <c r="AS150" s="238"/>
      <c r="AT150" s="29"/>
      <c r="AU150" s="238"/>
      <c r="AV150" s="202"/>
      <c r="AY150" s="36"/>
      <c r="AZ150" s="152"/>
      <c r="BB150" s="90"/>
      <c r="BC150" s="157"/>
      <c r="BD150" s="156"/>
      <c r="BE150" s="155"/>
      <c r="BF150" s="154"/>
    </row>
    <row r="151" spans="1:58" s="14" customFormat="1">
      <c r="A151" s="927"/>
      <c r="B151" s="81"/>
      <c r="C151" s="81"/>
      <c r="D151" s="60"/>
      <c r="E151" s="60"/>
      <c r="F151" s="167"/>
      <c r="G151" s="167"/>
      <c r="H151" s="171"/>
      <c r="I151" s="171"/>
      <c r="J151" s="171"/>
      <c r="K151" s="171"/>
      <c r="L151" s="171"/>
      <c r="M151" s="171"/>
      <c r="N151" s="171"/>
      <c r="O151" s="171"/>
      <c r="P151" s="171"/>
      <c r="Q151" s="171"/>
      <c r="R151" s="52"/>
      <c r="S151" s="52"/>
      <c r="T151" s="52"/>
      <c r="U151" s="52"/>
      <c r="V151" s="52"/>
      <c r="W151" s="52"/>
      <c r="X151" s="52"/>
      <c r="Y151" s="807"/>
      <c r="Z151" s="136"/>
      <c r="AA151" s="101"/>
      <c r="AB151" s="225"/>
      <c r="AC151" s="225"/>
      <c r="AD151" s="225"/>
      <c r="AE151" s="225"/>
      <c r="AF151" s="220"/>
      <c r="AG151" s="807"/>
      <c r="AH151" s="147"/>
      <c r="AI151" s="147"/>
      <c r="AJ151" s="72"/>
      <c r="AK151" s="222"/>
      <c r="AL151" s="807"/>
      <c r="AM151" s="983"/>
      <c r="AN151" s="807"/>
      <c r="AO151" s="232"/>
      <c r="AP151" s="1061"/>
      <c r="AQ151" s="80"/>
      <c r="AR151" s="240"/>
      <c r="AS151" s="238"/>
      <c r="AT151" s="29"/>
      <c r="AU151" s="238"/>
      <c r="AV151" s="202"/>
      <c r="AY151" s="36"/>
      <c r="AZ151" s="152"/>
      <c r="BB151" s="90"/>
      <c r="BC151" s="157"/>
      <c r="BD151" s="156"/>
      <c r="BE151" s="155"/>
      <c r="BF151" s="154"/>
    </row>
    <row r="152" spans="1:58" s="14" customFormat="1">
      <c r="A152" s="927"/>
      <c r="B152" s="81"/>
      <c r="C152" s="81"/>
      <c r="D152" s="60"/>
      <c r="E152" s="60"/>
      <c r="F152" s="167"/>
      <c r="G152" s="167"/>
      <c r="H152" s="171"/>
      <c r="I152" s="171"/>
      <c r="J152" s="171"/>
      <c r="K152" s="171"/>
      <c r="L152" s="171"/>
      <c r="M152" s="171"/>
      <c r="N152" s="171"/>
      <c r="O152" s="171"/>
      <c r="P152" s="171"/>
      <c r="Q152" s="171"/>
      <c r="R152" s="52"/>
      <c r="S152" s="52"/>
      <c r="T152" s="52"/>
      <c r="U152" s="52"/>
      <c r="V152" s="52"/>
      <c r="W152" s="52"/>
      <c r="X152" s="52"/>
      <c r="Y152" s="807"/>
      <c r="Z152" s="136"/>
      <c r="AA152" s="101"/>
      <c r="AB152" s="225"/>
      <c r="AC152" s="225"/>
      <c r="AD152" s="225"/>
      <c r="AE152" s="225"/>
      <c r="AF152" s="220"/>
      <c r="AG152" s="807"/>
      <c r="AH152" s="147"/>
      <c r="AI152" s="147"/>
      <c r="AJ152" s="72"/>
      <c r="AK152" s="222"/>
      <c r="AL152" s="807"/>
      <c r="AM152" s="983"/>
      <c r="AN152" s="807"/>
      <c r="AO152" s="232"/>
      <c r="AP152" s="1061"/>
      <c r="AQ152" s="80"/>
      <c r="AR152" s="240"/>
      <c r="AS152" s="238"/>
      <c r="AT152" s="29"/>
      <c r="AU152" s="238"/>
      <c r="AV152" s="202"/>
      <c r="AY152" s="36"/>
      <c r="AZ152" s="152"/>
      <c r="BB152" s="90"/>
      <c r="BC152" s="157"/>
      <c r="BD152" s="156"/>
      <c r="BE152" s="155"/>
      <c r="BF152" s="154"/>
    </row>
    <row r="153" spans="1:58" s="14" customFormat="1">
      <c r="A153" s="927"/>
      <c r="B153" s="81"/>
      <c r="C153" s="81"/>
      <c r="D153" s="60"/>
      <c r="E153" s="60"/>
      <c r="F153" s="167"/>
      <c r="G153" s="167"/>
      <c r="H153" s="171"/>
      <c r="I153" s="171"/>
      <c r="J153" s="171"/>
      <c r="K153" s="171"/>
      <c r="L153" s="171"/>
      <c r="M153" s="171"/>
      <c r="N153" s="171"/>
      <c r="O153" s="171"/>
      <c r="P153" s="171"/>
      <c r="Q153" s="171"/>
      <c r="R153" s="52"/>
      <c r="S153" s="52"/>
      <c r="T153" s="52"/>
      <c r="U153" s="52"/>
      <c r="V153" s="52"/>
      <c r="W153" s="52"/>
      <c r="X153" s="52"/>
      <c r="Y153" s="807"/>
      <c r="Z153" s="136"/>
      <c r="AA153" s="101"/>
      <c r="AB153" s="225"/>
      <c r="AC153" s="225"/>
      <c r="AD153" s="225"/>
      <c r="AE153" s="225"/>
      <c r="AF153" s="220"/>
      <c r="AG153" s="807"/>
      <c r="AH153" s="147"/>
      <c r="AI153" s="147"/>
      <c r="AJ153" s="72"/>
      <c r="AK153" s="222"/>
      <c r="AL153" s="807"/>
      <c r="AM153" s="983"/>
      <c r="AN153" s="807"/>
      <c r="AO153" s="232"/>
      <c r="AP153" s="1061"/>
      <c r="AQ153" s="80"/>
      <c r="AR153" s="240"/>
      <c r="AS153" s="238"/>
      <c r="AT153" s="29"/>
      <c r="AU153" s="238"/>
      <c r="AV153" s="202"/>
      <c r="AY153" s="36"/>
      <c r="AZ153" s="152"/>
      <c r="BB153" s="90"/>
      <c r="BC153" s="157"/>
      <c r="BD153" s="156"/>
      <c r="BE153" s="155"/>
      <c r="BF153" s="154"/>
    </row>
    <row r="154" spans="1:58" s="14" customFormat="1">
      <c r="A154" s="927"/>
      <c r="B154" s="81"/>
      <c r="C154" s="81"/>
      <c r="D154" s="60"/>
      <c r="E154" s="60"/>
      <c r="F154" s="167"/>
      <c r="G154" s="167"/>
      <c r="H154" s="171"/>
      <c r="I154" s="171"/>
      <c r="J154" s="171"/>
      <c r="K154" s="171"/>
      <c r="L154" s="171"/>
      <c r="M154" s="171"/>
      <c r="N154" s="171"/>
      <c r="O154" s="171"/>
      <c r="P154" s="171"/>
      <c r="Q154" s="171"/>
      <c r="R154" s="52"/>
      <c r="S154" s="52"/>
      <c r="T154" s="52"/>
      <c r="U154" s="52"/>
      <c r="V154" s="52"/>
      <c r="W154" s="52"/>
      <c r="X154" s="52"/>
      <c r="Y154" s="807"/>
      <c r="Z154" s="136"/>
      <c r="AA154" s="101"/>
      <c r="AB154" s="225"/>
      <c r="AC154" s="225"/>
      <c r="AD154" s="225"/>
      <c r="AE154" s="225"/>
      <c r="AF154" s="220"/>
      <c r="AG154" s="807"/>
      <c r="AH154" s="147"/>
      <c r="AI154" s="147"/>
      <c r="AJ154" s="72"/>
      <c r="AK154" s="222"/>
      <c r="AL154" s="807"/>
      <c r="AM154" s="983"/>
      <c r="AN154" s="807"/>
      <c r="AO154" s="232"/>
      <c r="AP154" s="1061"/>
      <c r="AQ154" s="80"/>
      <c r="AR154" s="240"/>
      <c r="AS154" s="238"/>
      <c r="AT154" s="29"/>
      <c r="AU154" s="238"/>
      <c r="AV154" s="202"/>
      <c r="AY154" s="36"/>
      <c r="AZ154" s="152"/>
      <c r="BB154" s="90"/>
      <c r="BC154" s="157"/>
      <c r="BD154" s="156"/>
      <c r="BE154" s="155"/>
      <c r="BF154" s="154"/>
    </row>
    <row r="155" spans="1:58" s="14" customFormat="1">
      <c r="A155" s="927"/>
      <c r="B155" s="81"/>
      <c r="C155" s="81"/>
      <c r="D155" s="60"/>
      <c r="E155" s="60"/>
      <c r="F155" s="167"/>
      <c r="G155" s="167"/>
      <c r="H155" s="171"/>
      <c r="I155" s="171"/>
      <c r="J155" s="171"/>
      <c r="K155" s="171"/>
      <c r="L155" s="171"/>
      <c r="M155" s="171"/>
      <c r="N155" s="171"/>
      <c r="O155" s="171"/>
      <c r="P155" s="171"/>
      <c r="Q155" s="171"/>
      <c r="R155" s="52"/>
      <c r="S155" s="52"/>
      <c r="T155" s="52"/>
      <c r="U155" s="52"/>
      <c r="V155" s="52"/>
      <c r="W155" s="52"/>
      <c r="X155" s="52"/>
      <c r="Y155" s="807"/>
      <c r="Z155" s="136"/>
      <c r="AA155" s="101"/>
      <c r="AB155" s="225"/>
      <c r="AC155" s="225"/>
      <c r="AD155" s="225"/>
      <c r="AE155" s="225"/>
      <c r="AF155" s="220"/>
      <c r="AG155" s="807"/>
      <c r="AH155" s="147"/>
      <c r="AI155" s="147"/>
      <c r="AJ155" s="72"/>
      <c r="AK155" s="222"/>
      <c r="AL155" s="807"/>
      <c r="AM155" s="983"/>
      <c r="AN155" s="807"/>
      <c r="AO155" s="232"/>
      <c r="AP155" s="1061"/>
      <c r="AQ155" s="80"/>
      <c r="AR155" s="240"/>
      <c r="AS155" s="238"/>
      <c r="AT155" s="29"/>
      <c r="AU155" s="238"/>
      <c r="AV155" s="202"/>
      <c r="AY155" s="36"/>
      <c r="AZ155" s="152"/>
      <c r="BB155" s="90"/>
      <c r="BC155" s="157"/>
      <c r="BD155" s="156"/>
      <c r="BE155" s="155"/>
      <c r="BF155" s="154"/>
    </row>
    <row r="156" spans="1:58" s="14" customFormat="1">
      <c r="A156" s="927"/>
      <c r="B156" s="81"/>
      <c r="C156" s="81"/>
      <c r="D156" s="60"/>
      <c r="E156" s="60"/>
      <c r="F156" s="167"/>
      <c r="G156" s="167"/>
      <c r="H156" s="171"/>
      <c r="I156" s="171"/>
      <c r="J156" s="171"/>
      <c r="K156" s="171"/>
      <c r="L156" s="171"/>
      <c r="M156" s="171"/>
      <c r="N156" s="171"/>
      <c r="O156" s="171"/>
      <c r="P156" s="171"/>
      <c r="Q156" s="171"/>
      <c r="R156" s="52"/>
      <c r="S156" s="52"/>
      <c r="T156" s="52"/>
      <c r="U156" s="52"/>
      <c r="V156" s="52"/>
      <c r="W156" s="52"/>
      <c r="X156" s="52"/>
      <c r="Y156" s="807"/>
      <c r="Z156" s="136"/>
      <c r="AA156" s="101"/>
      <c r="AB156" s="225"/>
      <c r="AC156" s="225"/>
      <c r="AD156" s="225"/>
      <c r="AE156" s="225"/>
      <c r="AF156" s="220"/>
      <c r="AG156" s="807"/>
      <c r="AH156" s="147"/>
      <c r="AI156" s="147"/>
      <c r="AJ156" s="72"/>
      <c r="AK156" s="222"/>
      <c r="AL156" s="807"/>
      <c r="AM156" s="983"/>
      <c r="AN156" s="807"/>
      <c r="AO156" s="232"/>
      <c r="AP156" s="1061"/>
      <c r="AQ156" s="80"/>
      <c r="AR156" s="240"/>
      <c r="AS156" s="238"/>
      <c r="AT156" s="29"/>
      <c r="AU156" s="238"/>
      <c r="AV156" s="202"/>
      <c r="AY156" s="36"/>
      <c r="AZ156" s="152"/>
      <c r="BB156" s="90"/>
      <c r="BC156" s="157"/>
      <c r="BD156" s="156"/>
      <c r="BE156" s="155"/>
      <c r="BF156" s="154"/>
    </row>
    <row r="157" spans="1:58" s="14" customFormat="1">
      <c r="A157" s="927"/>
      <c r="B157" s="81"/>
      <c r="C157" s="81"/>
      <c r="D157" s="60"/>
      <c r="E157" s="60"/>
      <c r="F157" s="167"/>
      <c r="G157" s="167"/>
      <c r="H157" s="171"/>
      <c r="I157" s="171"/>
      <c r="J157" s="171"/>
      <c r="K157" s="171"/>
      <c r="L157" s="171"/>
      <c r="M157" s="171"/>
      <c r="N157" s="171"/>
      <c r="O157" s="171"/>
      <c r="P157" s="171"/>
      <c r="Q157" s="171"/>
      <c r="R157" s="52"/>
      <c r="S157" s="52"/>
      <c r="T157" s="52"/>
      <c r="U157" s="52"/>
      <c r="V157" s="52"/>
      <c r="W157" s="52"/>
      <c r="X157" s="52"/>
      <c r="Y157" s="807"/>
      <c r="Z157" s="136"/>
      <c r="AA157" s="101"/>
      <c r="AB157" s="225"/>
      <c r="AC157" s="225"/>
      <c r="AD157" s="225"/>
      <c r="AE157" s="225"/>
      <c r="AF157" s="220"/>
      <c r="AG157" s="807"/>
      <c r="AH157" s="147"/>
      <c r="AI157" s="147"/>
      <c r="AJ157" s="72"/>
      <c r="AK157" s="222"/>
      <c r="AL157" s="807"/>
      <c r="AM157" s="983"/>
      <c r="AN157" s="807"/>
      <c r="AO157" s="232"/>
      <c r="AP157" s="1061"/>
      <c r="AQ157" s="80"/>
      <c r="AR157" s="240"/>
      <c r="AS157" s="238"/>
      <c r="AT157" s="29"/>
      <c r="AU157" s="238"/>
      <c r="AV157" s="202"/>
      <c r="AY157" s="36"/>
      <c r="AZ157" s="152"/>
      <c r="BB157" s="90"/>
      <c r="BC157" s="157"/>
      <c r="BD157" s="156"/>
      <c r="BE157" s="155"/>
      <c r="BF157" s="154"/>
    </row>
    <row r="158" spans="1:58" s="14" customFormat="1">
      <c r="A158" s="927"/>
      <c r="B158" s="81"/>
      <c r="C158" s="81"/>
      <c r="D158" s="60"/>
      <c r="E158" s="60"/>
      <c r="F158" s="167"/>
      <c r="G158" s="167"/>
      <c r="H158" s="171"/>
      <c r="I158" s="171"/>
      <c r="J158" s="171"/>
      <c r="K158" s="171"/>
      <c r="L158" s="171"/>
      <c r="M158" s="171"/>
      <c r="N158" s="171"/>
      <c r="O158" s="171"/>
      <c r="P158" s="171"/>
      <c r="Q158" s="171"/>
      <c r="R158" s="52"/>
      <c r="S158" s="52"/>
      <c r="T158" s="52"/>
      <c r="U158" s="52"/>
      <c r="V158" s="52"/>
      <c r="W158" s="52"/>
      <c r="X158" s="52"/>
      <c r="Y158" s="807"/>
      <c r="Z158" s="136"/>
      <c r="AA158" s="101"/>
      <c r="AB158" s="225"/>
      <c r="AC158" s="225"/>
      <c r="AD158" s="225"/>
      <c r="AE158" s="225"/>
      <c r="AF158" s="220"/>
      <c r="AG158" s="807"/>
      <c r="AH158" s="147"/>
      <c r="AI158" s="147"/>
      <c r="AJ158" s="72"/>
      <c r="AK158" s="222"/>
      <c r="AL158" s="807"/>
      <c r="AM158" s="983"/>
      <c r="AN158" s="807"/>
      <c r="AO158" s="232"/>
      <c r="AP158" s="1061"/>
      <c r="AQ158" s="80"/>
      <c r="AR158" s="240"/>
      <c r="AS158" s="238"/>
      <c r="AT158" s="29"/>
      <c r="AU158" s="238"/>
      <c r="AV158" s="202"/>
      <c r="AY158" s="36"/>
      <c r="AZ158" s="152"/>
      <c r="BB158" s="90"/>
      <c r="BC158" s="157"/>
      <c r="BD158" s="156"/>
      <c r="BE158" s="155"/>
      <c r="BF158" s="154"/>
    </row>
    <row r="159" spans="1:58" s="14" customFormat="1">
      <c r="A159" s="927"/>
      <c r="B159" s="81"/>
      <c r="C159" s="81"/>
      <c r="D159" s="60"/>
      <c r="E159" s="60"/>
      <c r="F159" s="167"/>
      <c r="G159" s="167"/>
      <c r="H159" s="171"/>
      <c r="I159" s="171"/>
      <c r="J159" s="171"/>
      <c r="K159" s="171"/>
      <c r="L159" s="171"/>
      <c r="M159" s="171"/>
      <c r="N159" s="171"/>
      <c r="O159" s="171"/>
      <c r="P159" s="171"/>
      <c r="Q159" s="171"/>
      <c r="R159" s="52"/>
      <c r="S159" s="52"/>
      <c r="T159" s="52"/>
      <c r="U159" s="52"/>
      <c r="V159" s="52"/>
      <c r="W159" s="52"/>
      <c r="X159" s="52"/>
      <c r="Y159" s="807"/>
      <c r="Z159" s="136"/>
      <c r="AA159" s="101"/>
      <c r="AB159" s="225"/>
      <c r="AC159" s="225"/>
      <c r="AD159" s="225"/>
      <c r="AE159" s="225"/>
      <c r="AF159" s="220"/>
      <c r="AG159" s="807"/>
      <c r="AH159" s="147"/>
      <c r="AI159" s="147"/>
      <c r="AJ159" s="72"/>
      <c r="AK159" s="222"/>
      <c r="AL159" s="807"/>
      <c r="AM159" s="983"/>
      <c r="AN159" s="807"/>
      <c r="AO159" s="232"/>
      <c r="AP159" s="1061"/>
      <c r="AQ159" s="80"/>
      <c r="AR159" s="240"/>
      <c r="AS159" s="238"/>
      <c r="AT159" s="29"/>
      <c r="AU159" s="238"/>
      <c r="AV159" s="202"/>
      <c r="AY159" s="36"/>
      <c r="AZ159" s="152"/>
      <c r="BB159" s="90"/>
      <c r="BC159" s="157"/>
      <c r="BD159" s="156"/>
      <c r="BE159" s="155"/>
      <c r="BF159" s="154"/>
    </row>
    <row r="160" spans="1:58" s="14" customFormat="1">
      <c r="A160" s="927"/>
      <c r="B160" s="81"/>
      <c r="C160" s="81"/>
      <c r="D160" s="60"/>
      <c r="E160" s="60"/>
      <c r="F160" s="167"/>
      <c r="G160" s="167"/>
      <c r="H160" s="171"/>
      <c r="I160" s="171"/>
      <c r="J160" s="171"/>
      <c r="K160" s="171"/>
      <c r="L160" s="171"/>
      <c r="M160" s="171"/>
      <c r="N160" s="171"/>
      <c r="O160" s="171"/>
      <c r="P160" s="171"/>
      <c r="Q160" s="171"/>
      <c r="R160" s="52"/>
      <c r="S160" s="52"/>
      <c r="T160" s="52"/>
      <c r="U160" s="52"/>
      <c r="V160" s="52"/>
      <c r="W160" s="52"/>
      <c r="X160" s="52"/>
      <c r="Y160" s="807"/>
      <c r="Z160" s="136"/>
      <c r="AA160" s="101"/>
      <c r="AB160" s="225"/>
      <c r="AC160" s="225"/>
      <c r="AD160" s="225"/>
      <c r="AE160" s="225"/>
      <c r="AF160" s="220"/>
      <c r="AG160" s="807"/>
      <c r="AH160" s="147"/>
      <c r="AI160" s="147"/>
      <c r="AJ160" s="72"/>
      <c r="AK160" s="222"/>
      <c r="AL160" s="807"/>
      <c r="AM160" s="983"/>
      <c r="AN160" s="807"/>
      <c r="AO160" s="232"/>
      <c r="AP160" s="1061"/>
      <c r="AQ160" s="80"/>
      <c r="AR160" s="240"/>
      <c r="AS160" s="238"/>
      <c r="AT160" s="29"/>
      <c r="AU160" s="238"/>
      <c r="AV160" s="202"/>
      <c r="AY160" s="36"/>
      <c r="AZ160" s="152"/>
      <c r="BB160" s="90"/>
      <c r="BC160" s="157"/>
      <c r="BD160" s="156"/>
      <c r="BE160" s="155"/>
      <c r="BF160" s="154"/>
    </row>
    <row r="161" spans="1:58" s="14" customFormat="1">
      <c r="A161" s="927"/>
      <c r="B161" s="81"/>
      <c r="C161" s="81"/>
      <c r="D161" s="60"/>
      <c r="E161" s="60"/>
      <c r="F161" s="167"/>
      <c r="G161" s="167"/>
      <c r="H161" s="171"/>
      <c r="I161" s="171"/>
      <c r="J161" s="171"/>
      <c r="K161" s="171"/>
      <c r="L161" s="171"/>
      <c r="M161" s="171"/>
      <c r="N161" s="171"/>
      <c r="O161" s="171"/>
      <c r="P161" s="171"/>
      <c r="Q161" s="171"/>
      <c r="R161" s="52"/>
      <c r="S161" s="52"/>
      <c r="T161" s="52"/>
      <c r="U161" s="52"/>
      <c r="V161" s="52"/>
      <c r="W161" s="52"/>
      <c r="X161" s="52"/>
      <c r="Y161" s="807"/>
      <c r="Z161" s="136"/>
      <c r="AA161" s="101"/>
      <c r="AB161" s="225"/>
      <c r="AC161" s="225"/>
      <c r="AD161" s="225"/>
      <c r="AE161" s="225"/>
      <c r="AF161" s="220"/>
      <c r="AG161" s="807"/>
      <c r="AH161" s="147"/>
      <c r="AI161" s="147"/>
      <c r="AJ161" s="72"/>
      <c r="AK161" s="222"/>
      <c r="AL161" s="807"/>
      <c r="AM161" s="983"/>
      <c r="AN161" s="807"/>
      <c r="AO161" s="232"/>
      <c r="AP161" s="1061"/>
      <c r="AQ161" s="80"/>
      <c r="AR161" s="240"/>
      <c r="AS161" s="238"/>
      <c r="AT161" s="29"/>
      <c r="AU161" s="238"/>
      <c r="AV161" s="202"/>
      <c r="AY161" s="36"/>
      <c r="AZ161" s="152"/>
      <c r="BB161" s="90"/>
      <c r="BC161" s="157"/>
      <c r="BD161" s="156"/>
      <c r="BE161" s="155"/>
      <c r="BF161" s="154"/>
    </row>
    <row r="162" spans="1:58" s="14" customFormat="1">
      <c r="A162" s="927"/>
      <c r="B162" s="81"/>
      <c r="C162" s="81"/>
      <c r="D162" s="60"/>
      <c r="E162" s="60"/>
      <c r="F162" s="167"/>
      <c r="G162" s="167"/>
      <c r="H162" s="171"/>
      <c r="I162" s="171"/>
      <c r="J162" s="171"/>
      <c r="K162" s="171"/>
      <c r="L162" s="171"/>
      <c r="M162" s="171"/>
      <c r="N162" s="171"/>
      <c r="O162" s="171"/>
      <c r="P162" s="171"/>
      <c r="Q162" s="171"/>
      <c r="R162" s="52"/>
      <c r="S162" s="52"/>
      <c r="T162" s="52"/>
      <c r="U162" s="52"/>
      <c r="V162" s="52"/>
      <c r="W162" s="52"/>
      <c r="X162" s="52"/>
      <c r="Y162" s="807"/>
      <c r="Z162" s="136"/>
      <c r="AA162" s="101"/>
      <c r="AB162" s="225"/>
      <c r="AC162" s="225"/>
      <c r="AD162" s="225"/>
      <c r="AE162" s="225"/>
      <c r="AF162" s="220"/>
      <c r="AG162" s="807"/>
      <c r="AH162" s="147"/>
      <c r="AI162" s="147"/>
      <c r="AJ162" s="72"/>
      <c r="AK162" s="222"/>
      <c r="AL162" s="807"/>
      <c r="AM162" s="983"/>
      <c r="AN162" s="807"/>
      <c r="AO162" s="232"/>
      <c r="AP162" s="1061"/>
      <c r="AQ162" s="80"/>
      <c r="AR162" s="240"/>
      <c r="AS162" s="238"/>
      <c r="AT162" s="29"/>
      <c r="AU162" s="238"/>
      <c r="AV162" s="202"/>
      <c r="AY162" s="36"/>
      <c r="AZ162" s="152"/>
      <c r="BB162" s="90"/>
      <c r="BC162" s="157"/>
      <c r="BD162" s="156"/>
      <c r="BE162" s="155"/>
      <c r="BF162" s="154"/>
    </row>
    <row r="163" spans="1:58" s="14" customFormat="1">
      <c r="A163" s="927"/>
      <c r="B163" s="81"/>
      <c r="C163" s="81"/>
      <c r="D163" s="60"/>
      <c r="E163" s="60"/>
      <c r="F163" s="167"/>
      <c r="G163" s="167"/>
      <c r="H163" s="171"/>
      <c r="I163" s="171"/>
      <c r="J163" s="171"/>
      <c r="K163" s="171"/>
      <c r="L163" s="171"/>
      <c r="M163" s="171"/>
      <c r="N163" s="171"/>
      <c r="O163" s="171"/>
      <c r="P163" s="171"/>
      <c r="Q163" s="171"/>
      <c r="R163" s="52"/>
      <c r="S163" s="52"/>
      <c r="T163" s="52"/>
      <c r="U163" s="52"/>
      <c r="V163" s="52"/>
      <c r="W163" s="52"/>
      <c r="X163" s="52"/>
      <c r="Y163" s="807"/>
      <c r="Z163" s="136"/>
      <c r="AA163" s="101"/>
      <c r="AB163" s="225"/>
      <c r="AC163" s="225"/>
      <c r="AD163" s="225"/>
      <c r="AE163" s="225"/>
      <c r="AF163" s="220"/>
      <c r="AG163" s="807"/>
      <c r="AH163" s="147"/>
      <c r="AI163" s="147"/>
      <c r="AJ163" s="72"/>
      <c r="AK163" s="222"/>
      <c r="AL163" s="807"/>
      <c r="AM163" s="983"/>
      <c r="AN163" s="807"/>
      <c r="AO163" s="232"/>
      <c r="AP163" s="1061"/>
      <c r="AQ163" s="80"/>
      <c r="AR163" s="240"/>
      <c r="AS163" s="238"/>
      <c r="AT163" s="29"/>
      <c r="AU163" s="238"/>
      <c r="AV163" s="202"/>
      <c r="AY163" s="36"/>
      <c r="AZ163" s="152"/>
      <c r="BB163" s="90"/>
      <c r="BC163" s="157"/>
      <c r="BD163" s="156"/>
      <c r="BE163" s="155"/>
      <c r="BF163" s="154"/>
    </row>
    <row r="164" spans="1:58" s="14" customFormat="1">
      <c r="A164" s="927"/>
      <c r="B164" s="81"/>
      <c r="C164" s="81"/>
      <c r="D164" s="60"/>
      <c r="E164" s="60"/>
      <c r="F164" s="167"/>
      <c r="G164" s="167"/>
      <c r="H164" s="171"/>
      <c r="I164" s="171"/>
      <c r="J164" s="171"/>
      <c r="K164" s="171"/>
      <c r="L164" s="171"/>
      <c r="M164" s="171"/>
      <c r="N164" s="171"/>
      <c r="O164" s="171"/>
      <c r="P164" s="171"/>
      <c r="Q164" s="171"/>
      <c r="R164" s="52"/>
      <c r="S164" s="52"/>
      <c r="T164" s="52"/>
      <c r="U164" s="52"/>
      <c r="V164" s="52"/>
      <c r="W164" s="52"/>
      <c r="X164" s="52"/>
      <c r="Y164" s="807"/>
      <c r="Z164" s="136"/>
      <c r="AA164" s="101"/>
      <c r="AB164" s="225"/>
      <c r="AC164" s="225"/>
      <c r="AD164" s="225"/>
      <c r="AE164" s="225"/>
      <c r="AF164" s="220"/>
      <c r="AG164" s="807"/>
      <c r="AH164" s="147"/>
      <c r="AI164" s="147"/>
      <c r="AJ164" s="72"/>
      <c r="AK164" s="222"/>
      <c r="AL164" s="807"/>
      <c r="AM164" s="983"/>
      <c r="AN164" s="807"/>
      <c r="AO164" s="232"/>
      <c r="AP164" s="1061"/>
      <c r="AQ164" s="80"/>
      <c r="AR164" s="240"/>
      <c r="AS164" s="238"/>
      <c r="AT164" s="29"/>
      <c r="AU164" s="238"/>
      <c r="AV164" s="202"/>
      <c r="AY164" s="36"/>
      <c r="AZ164" s="152"/>
      <c r="BB164" s="90"/>
      <c r="BC164" s="157"/>
      <c r="BD164" s="156"/>
      <c r="BE164" s="155"/>
      <c r="BF164" s="154"/>
    </row>
    <row r="165" spans="1:58" s="14" customFormat="1">
      <c r="A165" s="927"/>
      <c r="B165" s="81"/>
      <c r="C165" s="81"/>
      <c r="D165" s="60"/>
      <c r="E165" s="60"/>
      <c r="F165" s="167"/>
      <c r="G165" s="167"/>
      <c r="H165" s="171"/>
      <c r="I165" s="171"/>
      <c r="J165" s="171"/>
      <c r="K165" s="171"/>
      <c r="L165" s="171"/>
      <c r="M165" s="171"/>
      <c r="N165" s="171"/>
      <c r="O165" s="171"/>
      <c r="P165" s="171"/>
      <c r="Q165" s="171"/>
      <c r="R165" s="52"/>
      <c r="S165" s="52"/>
      <c r="T165" s="52"/>
      <c r="U165" s="52"/>
      <c r="V165" s="52"/>
      <c r="W165" s="52"/>
      <c r="X165" s="52"/>
      <c r="Y165" s="807"/>
      <c r="Z165" s="136"/>
      <c r="AA165" s="101"/>
      <c r="AB165" s="225"/>
      <c r="AC165" s="225"/>
      <c r="AD165" s="225"/>
      <c r="AE165" s="225"/>
      <c r="AF165" s="220"/>
      <c r="AG165" s="807"/>
      <c r="AH165" s="147"/>
      <c r="AI165" s="147"/>
      <c r="AJ165" s="72"/>
      <c r="AK165" s="222"/>
      <c r="AL165" s="807"/>
      <c r="AM165" s="983"/>
      <c r="AN165" s="807"/>
      <c r="AO165" s="232"/>
      <c r="AP165" s="1061"/>
      <c r="AQ165" s="80"/>
      <c r="AR165" s="240"/>
      <c r="AS165" s="238"/>
      <c r="AT165" s="29"/>
      <c r="AU165" s="238"/>
      <c r="AV165" s="202"/>
      <c r="AY165" s="36"/>
      <c r="AZ165" s="152"/>
      <c r="BB165" s="90"/>
      <c r="BC165" s="157"/>
      <c r="BD165" s="156"/>
      <c r="BE165" s="155"/>
      <c r="BF165" s="154"/>
    </row>
    <row r="166" spans="1:58" s="14" customFormat="1">
      <c r="A166" s="927"/>
      <c r="B166" s="81"/>
      <c r="C166" s="81"/>
      <c r="D166" s="60"/>
      <c r="E166" s="60"/>
      <c r="F166" s="167"/>
      <c r="G166" s="167"/>
      <c r="H166" s="171"/>
      <c r="I166" s="171"/>
      <c r="J166" s="171"/>
      <c r="K166" s="171"/>
      <c r="L166" s="171"/>
      <c r="M166" s="171"/>
      <c r="N166" s="171"/>
      <c r="O166" s="171"/>
      <c r="P166" s="171"/>
      <c r="Q166" s="171"/>
      <c r="R166" s="52"/>
      <c r="S166" s="52"/>
      <c r="T166" s="52"/>
      <c r="U166" s="52"/>
      <c r="V166" s="52"/>
      <c r="W166" s="52"/>
      <c r="X166" s="52"/>
      <c r="Y166" s="807"/>
      <c r="Z166" s="136"/>
      <c r="AA166" s="101"/>
      <c r="AB166" s="225"/>
      <c r="AC166" s="225"/>
      <c r="AD166" s="225"/>
      <c r="AE166" s="225"/>
      <c r="AF166" s="220"/>
      <c r="AG166" s="807"/>
      <c r="AH166" s="147"/>
      <c r="AI166" s="147"/>
      <c r="AJ166" s="72"/>
      <c r="AK166" s="222"/>
      <c r="AL166" s="807"/>
      <c r="AM166" s="983"/>
      <c r="AN166" s="807"/>
      <c r="AO166" s="232"/>
      <c r="AP166" s="1061"/>
      <c r="AQ166" s="80"/>
      <c r="AR166" s="240"/>
      <c r="AS166" s="238"/>
      <c r="AT166" s="29"/>
      <c r="AU166" s="238"/>
      <c r="AV166" s="202"/>
      <c r="AY166" s="36"/>
      <c r="AZ166" s="152"/>
      <c r="BB166" s="90"/>
      <c r="BC166" s="157"/>
      <c r="BD166" s="156"/>
      <c r="BE166" s="155"/>
      <c r="BF166" s="154"/>
    </row>
    <row r="167" spans="1:58" s="14" customFormat="1">
      <c r="A167" s="927"/>
      <c r="B167" s="81"/>
      <c r="C167" s="81"/>
      <c r="D167" s="60"/>
      <c r="E167" s="60"/>
      <c r="F167" s="167"/>
      <c r="G167" s="167"/>
      <c r="H167" s="171"/>
      <c r="I167" s="171"/>
      <c r="J167" s="171"/>
      <c r="K167" s="171"/>
      <c r="L167" s="171"/>
      <c r="M167" s="171"/>
      <c r="N167" s="171"/>
      <c r="O167" s="171"/>
      <c r="P167" s="171"/>
      <c r="Q167" s="171"/>
      <c r="R167" s="52"/>
      <c r="S167" s="52"/>
      <c r="T167" s="52"/>
      <c r="U167" s="52"/>
      <c r="V167" s="52"/>
      <c r="W167" s="52"/>
      <c r="X167" s="52"/>
      <c r="Y167" s="807"/>
      <c r="Z167" s="136"/>
      <c r="AA167" s="101"/>
      <c r="AB167" s="225"/>
      <c r="AC167" s="225"/>
      <c r="AD167" s="225"/>
      <c r="AE167" s="225"/>
      <c r="AF167" s="220"/>
      <c r="AG167" s="807"/>
      <c r="AH167" s="147"/>
      <c r="AI167" s="147"/>
      <c r="AJ167" s="72"/>
      <c r="AK167" s="222"/>
      <c r="AL167" s="807"/>
      <c r="AM167" s="983"/>
      <c r="AN167" s="807"/>
      <c r="AO167" s="232"/>
      <c r="AP167" s="1061"/>
      <c r="AQ167" s="80"/>
      <c r="AR167" s="240"/>
      <c r="AS167" s="238"/>
      <c r="AT167" s="29"/>
      <c r="AU167" s="238"/>
      <c r="AV167" s="202"/>
      <c r="AY167" s="36"/>
      <c r="AZ167" s="152"/>
      <c r="BB167" s="90"/>
      <c r="BC167" s="157"/>
      <c r="BD167" s="156"/>
      <c r="BE167" s="155"/>
      <c r="BF167" s="154"/>
    </row>
    <row r="168" spans="1:58" s="14" customFormat="1">
      <c r="A168" s="927"/>
      <c r="B168" s="81"/>
      <c r="C168" s="81"/>
      <c r="D168" s="60"/>
      <c r="E168" s="60"/>
      <c r="F168" s="167"/>
      <c r="G168" s="167"/>
      <c r="H168" s="171"/>
      <c r="I168" s="171"/>
      <c r="J168" s="171"/>
      <c r="K168" s="171"/>
      <c r="L168" s="171"/>
      <c r="M168" s="171"/>
      <c r="N168" s="171"/>
      <c r="O168" s="171"/>
      <c r="P168" s="171"/>
      <c r="Q168" s="171"/>
      <c r="R168" s="52"/>
      <c r="S168" s="52"/>
      <c r="T168" s="52"/>
      <c r="U168" s="52"/>
      <c r="V168" s="52"/>
      <c r="W168" s="52"/>
      <c r="X168" s="52"/>
      <c r="Y168" s="807"/>
      <c r="Z168" s="136"/>
      <c r="AA168" s="101"/>
      <c r="AB168" s="225"/>
      <c r="AC168" s="225"/>
      <c r="AD168" s="225"/>
      <c r="AE168" s="225"/>
      <c r="AF168" s="220"/>
      <c r="AG168" s="807"/>
      <c r="AH168" s="147"/>
      <c r="AI168" s="147"/>
      <c r="AJ168" s="72"/>
      <c r="AK168" s="222"/>
      <c r="AL168" s="807"/>
      <c r="AM168" s="983"/>
      <c r="AN168" s="807"/>
      <c r="AO168" s="232"/>
      <c r="AP168" s="1061"/>
      <c r="AQ168" s="80"/>
      <c r="AR168" s="240"/>
      <c r="AS168" s="238"/>
      <c r="AT168" s="29"/>
      <c r="AU168" s="238"/>
      <c r="AV168" s="202"/>
      <c r="AY168" s="36"/>
      <c r="AZ168" s="152"/>
      <c r="BB168" s="90"/>
      <c r="BC168" s="157"/>
      <c r="BD168" s="156"/>
      <c r="BE168" s="155"/>
      <c r="BF168" s="154"/>
    </row>
    <row r="169" spans="1:58" s="14" customFormat="1">
      <c r="A169" s="927"/>
      <c r="B169" s="81"/>
      <c r="C169" s="81"/>
      <c r="D169" s="60"/>
      <c r="E169" s="60"/>
      <c r="F169" s="167"/>
      <c r="G169" s="167"/>
      <c r="H169" s="171"/>
      <c r="I169" s="171"/>
      <c r="J169" s="171"/>
      <c r="K169" s="171"/>
      <c r="L169" s="171"/>
      <c r="M169" s="171"/>
      <c r="N169" s="171"/>
      <c r="O169" s="171"/>
      <c r="P169" s="171"/>
      <c r="Q169" s="171"/>
      <c r="R169" s="52"/>
      <c r="S169" s="52"/>
      <c r="T169" s="52"/>
      <c r="U169" s="52"/>
      <c r="V169" s="52"/>
      <c r="W169" s="52"/>
      <c r="X169" s="52"/>
      <c r="Y169" s="807"/>
      <c r="Z169" s="136"/>
      <c r="AA169" s="101"/>
      <c r="AB169" s="225"/>
      <c r="AC169" s="225"/>
      <c r="AD169" s="225"/>
      <c r="AE169" s="225"/>
      <c r="AF169" s="220"/>
      <c r="AG169" s="807"/>
      <c r="AH169" s="147"/>
      <c r="AI169" s="147"/>
      <c r="AJ169" s="72"/>
      <c r="AK169" s="222"/>
      <c r="AL169" s="807"/>
      <c r="AM169" s="983"/>
      <c r="AN169" s="807"/>
      <c r="AO169" s="232"/>
      <c r="AP169" s="1061"/>
      <c r="AQ169" s="80"/>
      <c r="AR169" s="240"/>
      <c r="AS169" s="238"/>
      <c r="AT169" s="29"/>
      <c r="AU169" s="238"/>
      <c r="AV169" s="202"/>
      <c r="AY169" s="36"/>
      <c r="AZ169" s="152"/>
      <c r="BB169" s="90"/>
      <c r="BC169" s="157"/>
      <c r="BD169" s="156"/>
      <c r="BE169" s="155"/>
      <c r="BF169" s="154"/>
    </row>
    <row r="170" spans="1:58" s="14" customFormat="1">
      <c r="A170" s="927"/>
      <c r="B170" s="81"/>
      <c r="C170" s="81"/>
      <c r="D170" s="60"/>
      <c r="E170" s="60"/>
      <c r="F170" s="167"/>
      <c r="G170" s="167"/>
      <c r="H170" s="171"/>
      <c r="I170" s="171"/>
      <c r="J170" s="171"/>
      <c r="K170" s="171"/>
      <c r="L170" s="171"/>
      <c r="M170" s="171"/>
      <c r="N170" s="171"/>
      <c r="O170" s="171"/>
      <c r="P170" s="171"/>
      <c r="Q170" s="171"/>
      <c r="R170" s="52"/>
      <c r="S170" s="52"/>
      <c r="T170" s="52"/>
      <c r="U170" s="52"/>
      <c r="V170" s="52"/>
      <c r="W170" s="52"/>
      <c r="X170" s="52"/>
      <c r="Y170" s="807"/>
      <c r="Z170" s="136"/>
      <c r="AA170" s="101"/>
      <c r="AB170" s="225"/>
      <c r="AC170" s="225"/>
      <c r="AD170" s="225"/>
      <c r="AE170" s="225"/>
      <c r="AF170" s="220"/>
      <c r="AG170" s="807"/>
      <c r="AH170" s="147"/>
      <c r="AI170" s="147"/>
      <c r="AJ170" s="72"/>
      <c r="AK170" s="222"/>
      <c r="AL170" s="807"/>
      <c r="AM170" s="983"/>
      <c r="AN170" s="807"/>
      <c r="AO170" s="232"/>
      <c r="AP170" s="1061"/>
      <c r="AQ170" s="80"/>
      <c r="AR170" s="240"/>
      <c r="AS170" s="238"/>
      <c r="AT170" s="29"/>
      <c r="AU170" s="238"/>
      <c r="AV170" s="202"/>
      <c r="AY170" s="36"/>
      <c r="AZ170" s="152"/>
      <c r="BB170" s="90"/>
      <c r="BC170" s="157"/>
      <c r="BD170" s="156"/>
      <c r="BE170" s="155"/>
      <c r="BF170" s="154"/>
    </row>
    <row r="171" spans="1:58" s="14" customFormat="1">
      <c r="A171" s="927"/>
      <c r="B171" s="81"/>
      <c r="C171" s="81"/>
      <c r="D171" s="60"/>
      <c r="E171" s="60"/>
      <c r="F171" s="167"/>
      <c r="G171" s="167"/>
      <c r="H171" s="171"/>
      <c r="I171" s="171"/>
      <c r="J171" s="171"/>
      <c r="K171" s="171"/>
      <c r="L171" s="171"/>
      <c r="M171" s="171"/>
      <c r="N171" s="171"/>
      <c r="O171" s="171"/>
      <c r="P171" s="171"/>
      <c r="Q171" s="171"/>
      <c r="R171" s="52"/>
      <c r="S171" s="52"/>
      <c r="T171" s="52"/>
      <c r="U171" s="52"/>
      <c r="V171" s="52"/>
      <c r="W171" s="52"/>
      <c r="X171" s="52"/>
      <c r="Y171" s="807"/>
      <c r="Z171" s="136"/>
      <c r="AA171" s="101"/>
      <c r="AB171" s="225"/>
      <c r="AC171" s="225"/>
      <c r="AD171" s="225"/>
      <c r="AE171" s="225"/>
      <c r="AF171" s="220"/>
      <c r="AG171" s="807"/>
      <c r="AH171" s="147"/>
      <c r="AI171" s="147"/>
      <c r="AJ171" s="72"/>
      <c r="AK171" s="222"/>
      <c r="AL171" s="807"/>
      <c r="AM171" s="983"/>
      <c r="AN171" s="807"/>
      <c r="AO171" s="232"/>
      <c r="AP171" s="1061"/>
      <c r="AQ171" s="80"/>
      <c r="AR171" s="240"/>
      <c r="AS171" s="238"/>
      <c r="AT171" s="29"/>
      <c r="AU171" s="238"/>
      <c r="AV171" s="202"/>
      <c r="AY171" s="36"/>
      <c r="AZ171" s="152"/>
      <c r="BB171" s="90"/>
      <c r="BC171" s="157"/>
      <c r="BD171" s="156"/>
      <c r="BE171" s="155"/>
      <c r="BF171" s="154"/>
    </row>
    <row r="172" spans="1:58" s="14" customFormat="1">
      <c r="A172" s="927"/>
      <c r="B172" s="81"/>
      <c r="C172" s="81"/>
      <c r="D172" s="60"/>
      <c r="E172" s="60"/>
      <c r="F172" s="167"/>
      <c r="G172" s="167"/>
      <c r="H172" s="171"/>
      <c r="I172" s="171"/>
      <c r="J172" s="171"/>
      <c r="K172" s="171"/>
      <c r="L172" s="171"/>
      <c r="M172" s="171"/>
      <c r="N172" s="171"/>
      <c r="O172" s="171"/>
      <c r="P172" s="171"/>
      <c r="Q172" s="171"/>
      <c r="R172" s="52"/>
      <c r="S172" s="52"/>
      <c r="T172" s="52"/>
      <c r="U172" s="52"/>
      <c r="V172" s="52"/>
      <c r="W172" s="52"/>
      <c r="X172" s="52"/>
      <c r="Y172" s="807"/>
      <c r="Z172" s="136"/>
      <c r="AA172" s="101"/>
      <c r="AB172" s="225"/>
      <c r="AC172" s="225"/>
      <c r="AD172" s="225"/>
      <c r="AE172" s="225"/>
      <c r="AF172" s="220"/>
      <c r="AG172" s="807"/>
      <c r="AH172" s="147"/>
      <c r="AI172" s="147"/>
      <c r="AJ172" s="72"/>
      <c r="AK172" s="222"/>
      <c r="AL172" s="807"/>
      <c r="AM172" s="983"/>
      <c r="AN172" s="807"/>
      <c r="AO172" s="232"/>
      <c r="AP172" s="1061"/>
      <c r="AQ172" s="80"/>
      <c r="AR172" s="240"/>
      <c r="AS172" s="238"/>
      <c r="AT172" s="29"/>
      <c r="AU172" s="238"/>
      <c r="AV172" s="202"/>
      <c r="AY172" s="36"/>
      <c r="AZ172" s="152"/>
      <c r="BB172" s="90"/>
      <c r="BC172" s="157"/>
      <c r="BD172" s="156"/>
      <c r="BE172" s="155"/>
      <c r="BF172" s="154"/>
    </row>
    <row r="173" spans="1:58" s="14" customFormat="1">
      <c r="A173" s="927"/>
      <c r="B173" s="81"/>
      <c r="C173" s="81"/>
      <c r="D173" s="60"/>
      <c r="E173" s="60"/>
      <c r="F173" s="167"/>
      <c r="G173" s="167"/>
      <c r="H173" s="171"/>
      <c r="I173" s="171"/>
      <c r="J173" s="171"/>
      <c r="K173" s="171"/>
      <c r="L173" s="171"/>
      <c r="M173" s="171"/>
      <c r="N173" s="171"/>
      <c r="O173" s="171"/>
      <c r="P173" s="171"/>
      <c r="Q173" s="171"/>
      <c r="R173" s="52"/>
      <c r="S173" s="52"/>
      <c r="T173" s="52"/>
      <c r="U173" s="52"/>
      <c r="V173" s="52"/>
      <c r="W173" s="52"/>
      <c r="X173" s="52"/>
      <c r="Y173" s="807"/>
      <c r="Z173" s="136"/>
      <c r="AA173" s="101"/>
      <c r="AB173" s="225"/>
      <c r="AC173" s="225"/>
      <c r="AD173" s="225"/>
      <c r="AE173" s="225"/>
      <c r="AF173" s="220"/>
      <c r="AG173" s="807"/>
      <c r="AH173" s="147"/>
      <c r="AI173" s="147"/>
      <c r="AJ173" s="72"/>
      <c r="AK173" s="222"/>
      <c r="AL173" s="807"/>
      <c r="AM173" s="983"/>
      <c r="AN173" s="807"/>
      <c r="AO173" s="232"/>
      <c r="AP173" s="1061"/>
      <c r="AQ173" s="80"/>
      <c r="AR173" s="240"/>
      <c r="AS173" s="238"/>
      <c r="AT173" s="29"/>
      <c r="AU173" s="238"/>
      <c r="AV173" s="202"/>
      <c r="AY173" s="36"/>
      <c r="AZ173" s="152"/>
      <c r="BB173" s="90"/>
      <c r="BC173" s="157"/>
      <c r="BD173" s="156"/>
      <c r="BE173" s="155"/>
      <c r="BF173" s="154"/>
    </row>
    <row r="174" spans="1:58" s="14" customFormat="1">
      <c r="A174" s="927"/>
      <c r="B174" s="81"/>
      <c r="C174" s="81"/>
      <c r="D174" s="60"/>
      <c r="E174" s="60"/>
      <c r="F174" s="167"/>
      <c r="G174" s="167"/>
      <c r="H174" s="171"/>
      <c r="I174" s="171"/>
      <c r="J174" s="171"/>
      <c r="K174" s="171"/>
      <c r="L174" s="171"/>
      <c r="M174" s="171"/>
      <c r="N174" s="171"/>
      <c r="O174" s="171"/>
      <c r="P174" s="171"/>
      <c r="Q174" s="171"/>
      <c r="R174" s="52"/>
      <c r="S174" s="52"/>
      <c r="T174" s="52"/>
      <c r="U174" s="52"/>
      <c r="V174" s="52"/>
      <c r="W174" s="52"/>
      <c r="X174" s="52"/>
      <c r="Y174" s="807"/>
      <c r="Z174" s="136"/>
      <c r="AA174" s="101"/>
      <c r="AB174" s="225"/>
      <c r="AC174" s="225"/>
      <c r="AD174" s="225"/>
      <c r="AE174" s="225"/>
      <c r="AF174" s="220"/>
      <c r="AG174" s="807"/>
      <c r="AH174" s="147"/>
      <c r="AI174" s="147"/>
      <c r="AJ174" s="72"/>
      <c r="AK174" s="222"/>
      <c r="AL174" s="807"/>
      <c r="AM174" s="983"/>
      <c r="AN174" s="807"/>
      <c r="AO174" s="232"/>
      <c r="AP174" s="1061"/>
      <c r="AQ174" s="80"/>
      <c r="AR174" s="240"/>
      <c r="AS174" s="238"/>
      <c r="AT174" s="29"/>
      <c r="AU174" s="238"/>
      <c r="AV174" s="202"/>
      <c r="AY174" s="36"/>
      <c r="AZ174" s="152"/>
      <c r="BB174" s="90"/>
      <c r="BC174" s="157"/>
      <c r="BD174" s="156"/>
      <c r="BE174" s="155"/>
      <c r="BF174" s="154"/>
    </row>
    <row r="175" spans="1:58" s="14" customFormat="1">
      <c r="A175" s="927"/>
      <c r="B175" s="81"/>
      <c r="C175" s="81"/>
      <c r="D175" s="60"/>
      <c r="E175" s="60"/>
      <c r="F175" s="167"/>
      <c r="G175" s="167"/>
      <c r="H175" s="171"/>
      <c r="I175" s="171"/>
      <c r="J175" s="171"/>
      <c r="K175" s="171"/>
      <c r="L175" s="171"/>
      <c r="M175" s="171"/>
      <c r="N175" s="171"/>
      <c r="O175" s="171"/>
      <c r="P175" s="171"/>
      <c r="Q175" s="171"/>
      <c r="R175" s="52"/>
      <c r="S175" s="52"/>
      <c r="T175" s="52"/>
      <c r="U175" s="52"/>
      <c r="V175" s="52"/>
      <c r="W175" s="52"/>
      <c r="X175" s="52"/>
      <c r="Y175" s="807"/>
      <c r="Z175" s="136"/>
      <c r="AA175" s="101"/>
      <c r="AB175" s="225"/>
      <c r="AC175" s="225"/>
      <c r="AD175" s="225"/>
      <c r="AE175" s="225"/>
      <c r="AF175" s="220"/>
      <c r="AG175" s="807"/>
      <c r="AH175" s="147"/>
      <c r="AI175" s="147"/>
      <c r="AJ175" s="72"/>
      <c r="AK175" s="222"/>
      <c r="AL175" s="807"/>
      <c r="AM175" s="983"/>
      <c r="AN175" s="807"/>
      <c r="AO175" s="232"/>
      <c r="AP175" s="1061"/>
      <c r="AQ175" s="80"/>
      <c r="AR175" s="240"/>
      <c r="AS175" s="238"/>
      <c r="AT175" s="29"/>
      <c r="AU175" s="238"/>
      <c r="AV175" s="202"/>
      <c r="AY175" s="36"/>
      <c r="AZ175" s="152"/>
      <c r="BB175" s="90"/>
      <c r="BC175" s="157"/>
      <c r="BD175" s="156"/>
      <c r="BE175" s="155"/>
      <c r="BF175" s="154"/>
    </row>
    <row r="176" spans="1:58" s="14" customFormat="1">
      <c r="A176" s="927"/>
      <c r="B176" s="81"/>
      <c r="C176" s="81"/>
      <c r="D176" s="60"/>
      <c r="E176" s="60"/>
      <c r="F176" s="167"/>
      <c r="G176" s="167"/>
      <c r="H176" s="171"/>
      <c r="I176" s="171"/>
      <c r="J176" s="171"/>
      <c r="K176" s="171"/>
      <c r="L176" s="171"/>
      <c r="M176" s="171"/>
      <c r="N176" s="171"/>
      <c r="O176" s="171"/>
      <c r="P176" s="171"/>
      <c r="Q176" s="171"/>
      <c r="R176" s="52"/>
      <c r="S176" s="52"/>
      <c r="T176" s="52"/>
      <c r="U176" s="52"/>
      <c r="V176" s="52"/>
      <c r="W176" s="52"/>
      <c r="X176" s="52"/>
      <c r="Y176" s="807"/>
      <c r="Z176" s="136"/>
      <c r="AA176" s="101"/>
      <c r="AB176" s="225"/>
      <c r="AC176" s="225"/>
      <c r="AD176" s="225"/>
      <c r="AE176" s="225"/>
      <c r="AF176" s="220"/>
      <c r="AG176" s="807"/>
      <c r="AH176" s="147"/>
      <c r="AI176" s="147"/>
      <c r="AJ176" s="72"/>
      <c r="AK176" s="222"/>
      <c r="AL176" s="807"/>
      <c r="AM176" s="983"/>
      <c r="AN176" s="807"/>
      <c r="AO176" s="232"/>
      <c r="AP176" s="1061"/>
      <c r="AQ176" s="80"/>
      <c r="AR176" s="240"/>
      <c r="AS176" s="238"/>
      <c r="AT176" s="29"/>
      <c r="AU176" s="238"/>
      <c r="AV176" s="202"/>
      <c r="AY176" s="36"/>
      <c r="AZ176" s="152"/>
      <c r="BB176" s="90"/>
      <c r="BC176" s="157"/>
      <c r="BD176" s="156"/>
      <c r="BE176" s="155"/>
      <c r="BF176" s="154"/>
    </row>
    <row r="177" spans="1:58" s="14" customFormat="1">
      <c r="A177" s="927"/>
      <c r="B177" s="81"/>
      <c r="C177" s="81"/>
      <c r="D177" s="60"/>
      <c r="E177" s="60"/>
      <c r="F177" s="167"/>
      <c r="G177" s="167"/>
      <c r="H177" s="171"/>
      <c r="I177" s="171"/>
      <c r="J177" s="171"/>
      <c r="K177" s="171"/>
      <c r="L177" s="171"/>
      <c r="M177" s="171"/>
      <c r="N177" s="171"/>
      <c r="O177" s="171"/>
      <c r="P177" s="171"/>
      <c r="Q177" s="171"/>
      <c r="R177" s="52"/>
      <c r="S177" s="52"/>
      <c r="T177" s="52"/>
      <c r="U177" s="52"/>
      <c r="V177" s="52"/>
      <c r="W177" s="52"/>
      <c r="X177" s="52"/>
      <c r="Y177" s="807"/>
      <c r="Z177" s="136"/>
      <c r="AA177" s="101"/>
      <c r="AB177" s="225"/>
      <c r="AC177" s="225"/>
      <c r="AD177" s="225"/>
      <c r="AE177" s="225"/>
      <c r="AF177" s="220"/>
      <c r="AG177" s="807"/>
      <c r="AH177" s="147"/>
      <c r="AI177" s="147"/>
      <c r="AJ177" s="72"/>
      <c r="AK177" s="222"/>
      <c r="AL177" s="807"/>
      <c r="AM177" s="983"/>
      <c r="AN177" s="807"/>
      <c r="AO177" s="232"/>
      <c r="AP177" s="1061"/>
      <c r="AQ177" s="80"/>
      <c r="AR177" s="240"/>
      <c r="AS177" s="238"/>
      <c r="AT177" s="29"/>
      <c r="AU177" s="238"/>
      <c r="AV177" s="202"/>
      <c r="AY177" s="36"/>
      <c r="AZ177" s="152"/>
      <c r="BB177" s="90"/>
      <c r="BC177" s="157"/>
      <c r="BD177" s="156"/>
      <c r="BE177" s="155"/>
      <c r="BF177" s="154"/>
    </row>
    <row r="178" spans="1:58" s="14" customFormat="1">
      <c r="A178" s="927"/>
      <c r="B178" s="81"/>
      <c r="C178" s="81"/>
      <c r="D178" s="60"/>
      <c r="E178" s="60"/>
      <c r="F178" s="167"/>
      <c r="G178" s="167"/>
      <c r="H178" s="171"/>
      <c r="I178" s="171"/>
      <c r="J178" s="171"/>
      <c r="K178" s="171"/>
      <c r="L178" s="171"/>
      <c r="M178" s="171"/>
      <c r="N178" s="171"/>
      <c r="O178" s="171"/>
      <c r="P178" s="171"/>
      <c r="Q178" s="171"/>
      <c r="R178" s="52"/>
      <c r="S178" s="52"/>
      <c r="T178" s="52"/>
      <c r="U178" s="52"/>
      <c r="V178" s="52"/>
      <c r="W178" s="52"/>
      <c r="X178" s="52"/>
      <c r="Y178" s="807"/>
      <c r="Z178" s="136"/>
      <c r="AA178" s="101"/>
      <c r="AB178" s="225"/>
      <c r="AC178" s="225"/>
      <c r="AD178" s="225"/>
      <c r="AE178" s="225"/>
      <c r="AF178" s="220"/>
      <c r="AG178" s="807"/>
      <c r="AH178" s="147"/>
      <c r="AI178" s="147"/>
      <c r="AJ178" s="72"/>
      <c r="AK178" s="222"/>
      <c r="AL178" s="807"/>
      <c r="AM178" s="983"/>
      <c r="AN178" s="807"/>
      <c r="AO178" s="232"/>
      <c r="AP178" s="1061"/>
      <c r="AQ178" s="80"/>
      <c r="AR178" s="240"/>
      <c r="AS178" s="238"/>
      <c r="AT178" s="29"/>
      <c r="AU178" s="238"/>
      <c r="AV178" s="202"/>
      <c r="AY178" s="36"/>
      <c r="AZ178" s="152"/>
      <c r="BB178" s="90"/>
      <c r="BC178" s="157"/>
      <c r="BD178" s="156"/>
      <c r="BE178" s="155"/>
      <c r="BF178" s="154"/>
    </row>
    <row r="179" spans="1:58" s="14" customFormat="1">
      <c r="A179" s="927"/>
      <c r="B179" s="81"/>
      <c r="C179" s="81"/>
      <c r="D179" s="60"/>
      <c r="E179" s="60"/>
      <c r="F179" s="167"/>
      <c r="G179" s="167"/>
      <c r="H179" s="171"/>
      <c r="I179" s="171"/>
      <c r="J179" s="171"/>
      <c r="K179" s="171"/>
      <c r="L179" s="171"/>
      <c r="M179" s="171"/>
      <c r="N179" s="171"/>
      <c r="O179" s="171"/>
      <c r="P179" s="171"/>
      <c r="Q179" s="171"/>
      <c r="R179" s="52"/>
      <c r="S179" s="52"/>
      <c r="T179" s="52"/>
      <c r="U179" s="52"/>
      <c r="V179" s="52"/>
      <c r="W179" s="52"/>
      <c r="X179" s="52"/>
      <c r="Y179" s="807"/>
      <c r="Z179" s="136"/>
      <c r="AA179" s="101"/>
      <c r="AB179" s="225"/>
      <c r="AC179" s="225"/>
      <c r="AD179" s="225"/>
      <c r="AE179" s="225"/>
      <c r="AF179" s="220"/>
      <c r="AG179" s="807"/>
      <c r="AH179" s="147"/>
      <c r="AI179" s="147"/>
      <c r="AJ179" s="72"/>
      <c r="AK179" s="222"/>
      <c r="AL179" s="807"/>
      <c r="AM179" s="983"/>
      <c r="AN179" s="807"/>
      <c r="AO179" s="232"/>
      <c r="AP179" s="1061"/>
      <c r="AQ179" s="80"/>
      <c r="AR179" s="240"/>
      <c r="AS179" s="238"/>
      <c r="AT179" s="29"/>
      <c r="AU179" s="238"/>
      <c r="AV179" s="202"/>
      <c r="AY179" s="36"/>
      <c r="AZ179" s="152"/>
      <c r="BB179" s="90"/>
      <c r="BC179" s="157"/>
      <c r="BD179" s="156"/>
      <c r="BE179" s="155"/>
      <c r="BF179" s="154"/>
    </row>
    <row r="180" spans="1:58" s="14" customFormat="1">
      <c r="A180" s="927"/>
      <c r="B180" s="81"/>
      <c r="C180" s="81"/>
      <c r="D180" s="60"/>
      <c r="E180" s="60"/>
      <c r="F180" s="167"/>
      <c r="G180" s="167"/>
      <c r="H180" s="171"/>
      <c r="I180" s="171"/>
      <c r="J180" s="171"/>
      <c r="K180" s="171"/>
      <c r="L180" s="171"/>
      <c r="M180" s="171"/>
      <c r="N180" s="171"/>
      <c r="O180" s="171"/>
      <c r="P180" s="171"/>
      <c r="Q180" s="171"/>
      <c r="R180" s="52"/>
      <c r="S180" s="52"/>
      <c r="T180" s="52"/>
      <c r="U180" s="52"/>
      <c r="V180" s="52"/>
      <c r="W180" s="52"/>
      <c r="X180" s="52"/>
      <c r="Y180" s="807"/>
      <c r="Z180" s="136"/>
      <c r="AA180" s="101"/>
      <c r="AB180" s="225"/>
      <c r="AC180" s="225"/>
      <c r="AD180" s="225"/>
      <c r="AE180" s="225"/>
      <c r="AF180" s="220"/>
      <c r="AG180" s="807"/>
      <c r="AH180" s="147"/>
      <c r="AI180" s="147"/>
      <c r="AJ180" s="72"/>
      <c r="AK180" s="222"/>
      <c r="AL180" s="807"/>
      <c r="AM180" s="983"/>
      <c r="AN180" s="807"/>
      <c r="AO180" s="232"/>
      <c r="AP180" s="1061"/>
      <c r="AQ180" s="80"/>
      <c r="AR180" s="240"/>
      <c r="AS180" s="238"/>
      <c r="AT180" s="29"/>
      <c r="AU180" s="238"/>
      <c r="AV180" s="202"/>
      <c r="AY180" s="36"/>
      <c r="AZ180" s="152"/>
      <c r="BB180" s="90"/>
      <c r="BC180" s="157"/>
      <c r="BD180" s="156"/>
      <c r="BE180" s="155"/>
      <c r="BF180" s="154"/>
    </row>
    <row r="181" spans="1:58" s="14" customFormat="1">
      <c r="A181" s="927"/>
      <c r="B181" s="81"/>
      <c r="C181" s="81"/>
      <c r="D181" s="60"/>
      <c r="E181" s="60"/>
      <c r="F181" s="167"/>
      <c r="G181" s="167"/>
      <c r="H181" s="171"/>
      <c r="I181" s="171"/>
      <c r="J181" s="171"/>
      <c r="K181" s="171"/>
      <c r="L181" s="171"/>
      <c r="M181" s="171"/>
      <c r="N181" s="171"/>
      <c r="O181" s="171"/>
      <c r="P181" s="171"/>
      <c r="Q181" s="171"/>
      <c r="R181" s="52"/>
      <c r="S181" s="52"/>
      <c r="T181" s="52"/>
      <c r="U181" s="52"/>
      <c r="V181" s="52"/>
      <c r="W181" s="52"/>
      <c r="X181" s="52"/>
      <c r="Y181" s="807"/>
      <c r="Z181" s="136"/>
      <c r="AA181" s="101"/>
      <c r="AB181" s="225"/>
      <c r="AC181" s="225"/>
      <c r="AD181" s="225"/>
      <c r="AE181" s="225"/>
      <c r="AF181" s="220"/>
      <c r="AG181" s="807"/>
      <c r="AH181" s="147"/>
      <c r="AI181" s="147"/>
      <c r="AJ181" s="72"/>
      <c r="AK181" s="222"/>
      <c r="AL181" s="807"/>
      <c r="AM181" s="983"/>
      <c r="AN181" s="807"/>
      <c r="AO181" s="232"/>
      <c r="AP181" s="1061"/>
      <c r="AQ181" s="80"/>
      <c r="AR181" s="240"/>
      <c r="AS181" s="238"/>
      <c r="AT181" s="29"/>
      <c r="AU181" s="238"/>
      <c r="AV181" s="202"/>
      <c r="AY181" s="36"/>
      <c r="AZ181" s="152"/>
      <c r="BB181" s="90"/>
      <c r="BC181" s="157"/>
      <c r="BD181" s="156"/>
      <c r="BE181" s="155"/>
      <c r="BF181" s="154"/>
    </row>
    <row r="182" spans="1:58" s="14" customFormat="1">
      <c r="A182" s="927"/>
      <c r="B182" s="81"/>
      <c r="C182" s="81"/>
      <c r="D182" s="60"/>
      <c r="E182" s="60"/>
      <c r="F182" s="167"/>
      <c r="G182" s="167"/>
      <c r="H182" s="171"/>
      <c r="I182" s="171"/>
      <c r="J182" s="171"/>
      <c r="K182" s="171"/>
      <c r="L182" s="171"/>
      <c r="M182" s="171"/>
      <c r="N182" s="171"/>
      <c r="O182" s="171"/>
      <c r="P182" s="171"/>
      <c r="Q182" s="171"/>
      <c r="R182" s="52"/>
      <c r="S182" s="52"/>
      <c r="T182" s="52"/>
      <c r="U182" s="52"/>
      <c r="V182" s="52"/>
      <c r="W182" s="52"/>
      <c r="X182" s="52"/>
      <c r="Y182" s="807"/>
      <c r="Z182" s="136"/>
      <c r="AA182" s="101"/>
      <c r="AB182" s="225"/>
      <c r="AC182" s="225"/>
      <c r="AD182" s="225"/>
      <c r="AE182" s="225"/>
      <c r="AF182" s="220"/>
      <c r="AG182" s="807"/>
      <c r="AH182" s="147"/>
      <c r="AI182" s="147"/>
      <c r="AJ182" s="72"/>
      <c r="AK182" s="222"/>
      <c r="AL182" s="807"/>
      <c r="AM182" s="983"/>
      <c r="AN182" s="807"/>
      <c r="AO182" s="232"/>
      <c r="AP182" s="1061"/>
      <c r="AQ182" s="80"/>
      <c r="AR182" s="240"/>
      <c r="AS182" s="238"/>
      <c r="AT182" s="29"/>
      <c r="AU182" s="238"/>
      <c r="AV182" s="202"/>
      <c r="AY182" s="36"/>
      <c r="AZ182" s="152"/>
      <c r="BB182" s="90"/>
      <c r="BC182" s="157"/>
      <c r="BD182" s="156"/>
      <c r="BE182" s="155"/>
      <c r="BF182" s="154"/>
    </row>
    <row r="183" spans="1:58" s="14" customFormat="1">
      <c r="A183" s="927"/>
      <c r="B183" s="81"/>
      <c r="C183" s="81"/>
      <c r="D183" s="60"/>
      <c r="E183" s="60"/>
      <c r="F183" s="167"/>
      <c r="G183" s="167"/>
      <c r="H183" s="171"/>
      <c r="I183" s="171"/>
      <c r="J183" s="171"/>
      <c r="K183" s="171"/>
      <c r="L183" s="171"/>
      <c r="M183" s="171"/>
      <c r="N183" s="171"/>
      <c r="O183" s="171"/>
      <c r="P183" s="171"/>
      <c r="Q183" s="171"/>
      <c r="R183" s="52"/>
      <c r="S183" s="52"/>
      <c r="T183" s="52"/>
      <c r="U183" s="52"/>
      <c r="V183" s="52"/>
      <c r="W183" s="52"/>
      <c r="X183" s="52"/>
      <c r="Y183" s="807"/>
      <c r="Z183" s="136"/>
      <c r="AA183" s="101"/>
      <c r="AB183" s="225"/>
      <c r="AC183" s="225"/>
      <c r="AD183" s="225"/>
      <c r="AE183" s="225"/>
      <c r="AF183" s="220"/>
      <c r="AG183" s="807"/>
      <c r="AH183" s="147"/>
      <c r="AI183" s="147"/>
      <c r="AJ183" s="72"/>
      <c r="AK183" s="222"/>
      <c r="AL183" s="807"/>
      <c r="AM183" s="983"/>
      <c r="AN183" s="807"/>
      <c r="AO183" s="232"/>
      <c r="AP183" s="1061"/>
      <c r="AQ183" s="80"/>
      <c r="AR183" s="240"/>
      <c r="AS183" s="238"/>
      <c r="AT183" s="29"/>
      <c r="AU183" s="238"/>
      <c r="AV183" s="202"/>
      <c r="AY183" s="36"/>
      <c r="AZ183" s="152"/>
      <c r="BB183" s="90"/>
      <c r="BC183" s="157"/>
      <c r="BD183" s="156"/>
      <c r="BE183" s="155"/>
      <c r="BF183" s="154"/>
    </row>
    <row r="184" spans="1:58" s="14" customFormat="1">
      <c r="A184" s="927"/>
      <c r="B184" s="81"/>
      <c r="C184" s="81"/>
      <c r="D184" s="60"/>
      <c r="E184" s="60"/>
      <c r="F184" s="167"/>
      <c r="G184" s="167"/>
      <c r="H184" s="171"/>
      <c r="I184" s="171"/>
      <c r="J184" s="171"/>
      <c r="K184" s="171"/>
      <c r="L184" s="171"/>
      <c r="M184" s="171"/>
      <c r="N184" s="171"/>
      <c r="O184" s="171"/>
      <c r="P184" s="171"/>
      <c r="Q184" s="171"/>
      <c r="R184" s="52"/>
      <c r="S184" s="52"/>
      <c r="T184" s="52"/>
      <c r="U184" s="52"/>
      <c r="V184" s="52"/>
      <c r="W184" s="52"/>
      <c r="X184" s="52"/>
      <c r="Y184" s="807"/>
      <c r="Z184" s="136"/>
      <c r="AA184" s="101"/>
      <c r="AB184" s="225"/>
      <c r="AC184" s="225"/>
      <c r="AD184" s="225"/>
      <c r="AE184" s="225"/>
      <c r="AF184" s="220"/>
      <c r="AG184" s="807"/>
      <c r="AH184" s="147"/>
      <c r="AI184" s="147"/>
      <c r="AJ184" s="72"/>
      <c r="AK184" s="222"/>
      <c r="AL184" s="807"/>
      <c r="AM184" s="983"/>
      <c r="AN184" s="807"/>
      <c r="AO184" s="232"/>
      <c r="AP184" s="1061"/>
      <c r="AQ184" s="80"/>
      <c r="AR184" s="240"/>
      <c r="AS184" s="238"/>
      <c r="AT184" s="29"/>
      <c r="AU184" s="238"/>
      <c r="AV184" s="202"/>
      <c r="AY184" s="36"/>
      <c r="AZ184" s="152"/>
      <c r="BB184" s="90"/>
      <c r="BC184" s="157"/>
      <c r="BD184" s="156"/>
      <c r="BE184" s="155"/>
      <c r="BF184" s="154"/>
    </row>
    <row r="185" spans="1:58" s="14" customFormat="1">
      <c r="A185" s="927"/>
      <c r="B185" s="81"/>
      <c r="C185" s="81"/>
      <c r="D185" s="60"/>
      <c r="E185" s="60"/>
      <c r="F185" s="167"/>
      <c r="G185" s="167"/>
      <c r="H185" s="171"/>
      <c r="I185" s="171"/>
      <c r="J185" s="171"/>
      <c r="K185" s="171"/>
      <c r="L185" s="171"/>
      <c r="M185" s="171"/>
      <c r="N185" s="171"/>
      <c r="O185" s="171"/>
      <c r="P185" s="171"/>
      <c r="Q185" s="171"/>
      <c r="R185" s="52"/>
      <c r="S185" s="52"/>
      <c r="T185" s="52"/>
      <c r="U185" s="52"/>
      <c r="V185" s="52"/>
      <c r="W185" s="52"/>
      <c r="X185" s="52"/>
      <c r="Y185" s="807"/>
      <c r="Z185" s="136"/>
      <c r="AA185" s="101"/>
      <c r="AB185" s="225"/>
      <c r="AC185" s="225"/>
      <c r="AD185" s="225"/>
      <c r="AE185" s="225"/>
      <c r="AF185" s="220"/>
      <c r="AG185" s="807"/>
      <c r="AH185" s="147"/>
      <c r="AI185" s="147"/>
      <c r="AJ185" s="72"/>
      <c r="AK185" s="222"/>
      <c r="AL185" s="807"/>
      <c r="AM185" s="983"/>
      <c r="AN185" s="807"/>
      <c r="AO185" s="232"/>
      <c r="AP185" s="1061"/>
      <c r="AQ185" s="80"/>
      <c r="AR185" s="240"/>
      <c r="AS185" s="238"/>
      <c r="AT185" s="29"/>
      <c r="AU185" s="238"/>
      <c r="AV185" s="202"/>
      <c r="AY185" s="36"/>
      <c r="AZ185" s="152"/>
      <c r="BB185" s="90"/>
      <c r="BC185" s="157"/>
      <c r="BD185" s="156"/>
      <c r="BE185" s="155"/>
      <c r="BF185" s="154"/>
    </row>
    <row r="186" spans="1:58" s="14" customFormat="1">
      <c r="A186" s="927"/>
      <c r="B186" s="81"/>
      <c r="C186" s="81"/>
      <c r="D186" s="60"/>
      <c r="E186" s="60"/>
      <c r="F186" s="167"/>
      <c r="G186" s="167"/>
      <c r="H186" s="171"/>
      <c r="I186" s="171"/>
      <c r="J186" s="171"/>
      <c r="K186" s="171"/>
      <c r="L186" s="171"/>
      <c r="M186" s="171"/>
      <c r="N186" s="171"/>
      <c r="O186" s="171"/>
      <c r="P186" s="171"/>
      <c r="Q186" s="171"/>
      <c r="R186" s="52"/>
      <c r="S186" s="52"/>
      <c r="T186" s="52"/>
      <c r="U186" s="52"/>
      <c r="V186" s="52"/>
      <c r="W186" s="52"/>
      <c r="X186" s="52"/>
      <c r="Y186" s="807"/>
      <c r="Z186" s="136"/>
      <c r="AA186" s="101"/>
      <c r="AB186" s="225"/>
      <c r="AC186" s="225"/>
      <c r="AD186" s="225"/>
      <c r="AE186" s="225"/>
      <c r="AF186" s="220"/>
      <c r="AG186" s="807"/>
      <c r="AH186" s="147"/>
      <c r="AI186" s="147"/>
      <c r="AJ186" s="72"/>
      <c r="AK186" s="222"/>
      <c r="AL186" s="807"/>
      <c r="AM186" s="983"/>
      <c r="AN186" s="807"/>
      <c r="AO186" s="232"/>
      <c r="AP186" s="1061"/>
      <c r="AQ186" s="80"/>
      <c r="AR186" s="240"/>
      <c r="AS186" s="238"/>
      <c r="AT186" s="29"/>
      <c r="AU186" s="238"/>
      <c r="AV186" s="202"/>
      <c r="AY186" s="36"/>
      <c r="AZ186" s="152"/>
      <c r="BB186" s="90"/>
      <c r="BC186" s="157"/>
      <c r="BD186" s="156"/>
      <c r="BE186" s="155"/>
      <c r="BF186" s="154"/>
    </row>
    <row r="187" spans="1:58" s="14" customFormat="1">
      <c r="A187" s="927"/>
      <c r="B187" s="81"/>
      <c r="C187" s="81"/>
      <c r="D187" s="60"/>
      <c r="E187" s="60"/>
      <c r="F187" s="167"/>
      <c r="G187" s="167"/>
      <c r="H187" s="171"/>
      <c r="I187" s="171"/>
      <c r="J187" s="171"/>
      <c r="K187" s="171"/>
      <c r="L187" s="171"/>
      <c r="M187" s="171"/>
      <c r="N187" s="171"/>
      <c r="O187" s="171"/>
      <c r="P187" s="171"/>
      <c r="Q187" s="171"/>
      <c r="R187" s="52"/>
      <c r="S187" s="52"/>
      <c r="T187" s="52"/>
      <c r="U187" s="52"/>
      <c r="V187" s="52"/>
      <c r="W187" s="52"/>
      <c r="X187" s="52"/>
      <c r="Y187" s="807"/>
      <c r="Z187" s="136"/>
      <c r="AA187" s="101"/>
      <c r="AB187" s="225"/>
      <c r="AC187" s="225"/>
      <c r="AD187" s="225"/>
      <c r="AE187" s="225"/>
      <c r="AF187" s="220"/>
      <c r="AG187" s="807"/>
      <c r="AH187" s="147"/>
      <c r="AI187" s="147"/>
      <c r="AJ187" s="72"/>
      <c r="AK187" s="222"/>
      <c r="AL187" s="807"/>
      <c r="AM187" s="983"/>
      <c r="AN187" s="807"/>
      <c r="AO187" s="232"/>
      <c r="AP187" s="1061"/>
      <c r="AQ187" s="80"/>
      <c r="AR187" s="240"/>
      <c r="AS187" s="238"/>
      <c r="AT187" s="29"/>
      <c r="AU187" s="238"/>
      <c r="AV187" s="202"/>
      <c r="AY187" s="36"/>
      <c r="AZ187" s="152"/>
      <c r="BB187" s="90"/>
      <c r="BC187" s="157"/>
      <c r="BD187" s="156"/>
      <c r="BE187" s="155"/>
      <c r="BF187" s="154"/>
    </row>
    <row r="188" spans="1:58" s="14" customFormat="1">
      <c r="A188" s="927"/>
      <c r="B188" s="81"/>
      <c r="C188" s="81"/>
      <c r="D188" s="60"/>
      <c r="E188" s="60"/>
      <c r="F188" s="167"/>
      <c r="G188" s="167"/>
      <c r="H188" s="171"/>
      <c r="I188" s="171"/>
      <c r="J188" s="171"/>
      <c r="K188" s="171"/>
      <c r="L188" s="171"/>
      <c r="M188" s="171"/>
      <c r="N188" s="171"/>
      <c r="O188" s="171"/>
      <c r="P188" s="171"/>
      <c r="Q188" s="171"/>
      <c r="R188" s="52"/>
      <c r="S188" s="52"/>
      <c r="T188" s="52"/>
      <c r="U188" s="52"/>
      <c r="V188" s="52"/>
      <c r="W188" s="52"/>
      <c r="X188" s="52"/>
      <c r="Y188" s="807"/>
      <c r="Z188" s="136"/>
      <c r="AA188" s="101"/>
      <c r="AB188" s="225"/>
      <c r="AC188" s="225"/>
      <c r="AD188" s="225"/>
      <c r="AE188" s="225"/>
      <c r="AF188" s="220"/>
      <c r="AG188" s="807"/>
      <c r="AH188" s="147"/>
      <c r="AI188" s="147"/>
      <c r="AJ188" s="72"/>
      <c r="AK188" s="222"/>
      <c r="AL188" s="807"/>
      <c r="AM188" s="983"/>
      <c r="AN188" s="807"/>
      <c r="AO188" s="232"/>
      <c r="AP188" s="1061"/>
      <c r="AQ188" s="80"/>
      <c r="AR188" s="240"/>
      <c r="AS188" s="238"/>
      <c r="AT188" s="29"/>
      <c r="AU188" s="238"/>
      <c r="AV188" s="202"/>
      <c r="AY188" s="36"/>
      <c r="AZ188" s="152"/>
      <c r="BB188" s="90"/>
      <c r="BC188" s="157"/>
      <c r="BD188" s="156"/>
      <c r="BE188" s="155"/>
      <c r="BF188" s="154"/>
    </row>
    <row r="189" spans="1:58" s="14" customFormat="1">
      <c r="A189" s="927"/>
      <c r="B189" s="81"/>
      <c r="C189" s="81"/>
      <c r="D189" s="60"/>
      <c r="E189" s="60"/>
      <c r="F189" s="167"/>
      <c r="G189" s="167"/>
      <c r="H189" s="171"/>
      <c r="I189" s="171"/>
      <c r="J189" s="171"/>
      <c r="K189" s="171"/>
      <c r="L189" s="171"/>
      <c r="M189" s="171"/>
      <c r="N189" s="171"/>
      <c r="O189" s="171"/>
      <c r="P189" s="171"/>
      <c r="Q189" s="171"/>
      <c r="R189" s="52"/>
      <c r="S189" s="52"/>
      <c r="T189" s="52"/>
      <c r="U189" s="52"/>
      <c r="V189" s="52"/>
      <c r="W189" s="52"/>
      <c r="X189" s="52"/>
      <c r="Y189" s="807"/>
      <c r="Z189" s="136"/>
      <c r="AA189" s="101"/>
      <c r="AB189" s="225"/>
      <c r="AC189" s="225"/>
      <c r="AD189" s="225"/>
      <c r="AE189" s="225"/>
      <c r="AF189" s="220"/>
      <c r="AG189" s="807"/>
      <c r="AH189" s="147"/>
      <c r="AI189" s="147"/>
      <c r="AJ189" s="72"/>
      <c r="AK189" s="222"/>
      <c r="AL189" s="807"/>
      <c r="AM189" s="983"/>
      <c r="AN189" s="807"/>
      <c r="AO189" s="232"/>
      <c r="AP189" s="1061"/>
      <c r="AQ189" s="80"/>
      <c r="AR189" s="240"/>
      <c r="AS189" s="238"/>
      <c r="AT189" s="29"/>
      <c r="AU189" s="238"/>
      <c r="AV189" s="202"/>
      <c r="AY189" s="36"/>
      <c r="AZ189" s="152"/>
      <c r="BB189" s="90"/>
      <c r="BC189" s="157"/>
      <c r="BD189" s="156"/>
      <c r="BE189" s="155"/>
      <c r="BF189" s="154"/>
    </row>
    <row r="190" spans="1:58" s="14" customFormat="1">
      <c r="A190" s="927"/>
      <c r="B190" s="81"/>
      <c r="C190" s="81"/>
      <c r="D190" s="60"/>
      <c r="E190" s="60"/>
      <c r="F190" s="167"/>
      <c r="G190" s="167"/>
      <c r="H190" s="171"/>
      <c r="I190" s="171"/>
      <c r="J190" s="171"/>
      <c r="K190" s="171"/>
      <c r="L190" s="171"/>
      <c r="M190" s="171"/>
      <c r="N190" s="171"/>
      <c r="O190" s="171"/>
      <c r="P190" s="171"/>
      <c r="Q190" s="171"/>
      <c r="R190" s="52"/>
      <c r="S190" s="52"/>
      <c r="T190" s="52"/>
      <c r="U190" s="52"/>
      <c r="V190" s="52"/>
      <c r="W190" s="52"/>
      <c r="X190" s="52"/>
      <c r="Y190" s="807"/>
      <c r="Z190" s="136"/>
      <c r="AA190" s="101"/>
      <c r="AB190" s="225"/>
      <c r="AC190" s="225"/>
      <c r="AD190" s="225"/>
      <c r="AE190" s="225"/>
      <c r="AF190" s="220"/>
      <c r="AG190" s="807"/>
      <c r="AH190" s="147"/>
      <c r="AI190" s="147"/>
      <c r="AJ190" s="72"/>
      <c r="AK190" s="222"/>
      <c r="AL190" s="807"/>
      <c r="AM190" s="983"/>
      <c r="AN190" s="807"/>
      <c r="AO190" s="232"/>
      <c r="AP190" s="1061"/>
      <c r="AQ190" s="80"/>
      <c r="AR190" s="240"/>
      <c r="AS190" s="238"/>
      <c r="AT190" s="29"/>
      <c r="AU190" s="238"/>
      <c r="AV190" s="202"/>
      <c r="AY190" s="36"/>
      <c r="AZ190" s="152"/>
      <c r="BB190" s="90"/>
      <c r="BC190" s="157"/>
      <c r="BD190" s="156"/>
      <c r="BE190" s="155"/>
      <c r="BF190" s="154"/>
    </row>
  </sheetData>
  <mergeCells count="151">
    <mergeCell ref="T16:X16"/>
    <mergeCell ref="D16:I16"/>
    <mergeCell ref="T41:X41"/>
    <mergeCell ref="Y41:Z41"/>
    <mergeCell ref="C2:X2"/>
    <mergeCell ref="L70:L80"/>
    <mergeCell ref="AI3:AN3"/>
    <mergeCell ref="D3:I3"/>
    <mergeCell ref="J3:Q3"/>
    <mergeCell ref="AC5:AE5"/>
    <mergeCell ref="D13:E13"/>
    <mergeCell ref="Y5:Z5"/>
    <mergeCell ref="T5:X5"/>
    <mergeCell ref="J16:Q16"/>
    <mergeCell ref="R16:S16"/>
    <mergeCell ref="AC16:AE16"/>
    <mergeCell ref="J5:Q5"/>
    <mergeCell ref="R5:S5"/>
    <mergeCell ref="D5:I5"/>
    <mergeCell ref="D41:I41"/>
    <mergeCell ref="R41:S41"/>
    <mergeCell ref="R62:S62"/>
    <mergeCell ref="AC49:AC58"/>
    <mergeCell ref="Y62:Z62"/>
    <mergeCell ref="AF5:AG5"/>
    <mergeCell ref="Y16:Z16"/>
    <mergeCell ref="D127:I127"/>
    <mergeCell ref="J127:Q127"/>
    <mergeCell ref="R127:S127"/>
    <mergeCell ref="T127:X127"/>
    <mergeCell ref="Y127:Z127"/>
    <mergeCell ref="AC127:AE127"/>
    <mergeCell ref="AF127:AG127"/>
    <mergeCell ref="D115:E115"/>
    <mergeCell ref="D107:I107"/>
    <mergeCell ref="AF107:AG107"/>
    <mergeCell ref="J107:Q107"/>
    <mergeCell ref="R107:S107"/>
    <mergeCell ref="T107:X107"/>
    <mergeCell ref="AC118:AE118"/>
    <mergeCell ref="Y107:Z107"/>
    <mergeCell ref="AC107:AE107"/>
    <mergeCell ref="D37:E37"/>
    <mergeCell ref="AB49:AB58"/>
    <mergeCell ref="H49:H58"/>
    <mergeCell ref="K49:K58"/>
    <mergeCell ref="G49:G58"/>
    <mergeCell ref="D49:E58"/>
    <mergeCell ref="AQ13:AU13"/>
    <mergeCell ref="AP49:AP59"/>
    <mergeCell ref="AJ49:AJ58"/>
    <mergeCell ref="AK49:AK58"/>
    <mergeCell ref="AQ49:AQ59"/>
    <mergeCell ref="AF28:AG28"/>
    <mergeCell ref="Y28:Z28"/>
    <mergeCell ref="C27:AO27"/>
    <mergeCell ref="R28:S28"/>
    <mergeCell ref="AI41:AN41"/>
    <mergeCell ref="AI28:AN28"/>
    <mergeCell ref="AI16:AN16"/>
    <mergeCell ref="AF16:AG16"/>
    <mergeCell ref="I49:I58"/>
    <mergeCell ref="AH49:AH58"/>
    <mergeCell ref="D24:E24"/>
    <mergeCell ref="V49:V59"/>
    <mergeCell ref="S49:S58"/>
    <mergeCell ref="AD49:AD58"/>
    <mergeCell ref="J28:Q28"/>
    <mergeCell ref="AC28:AE28"/>
    <mergeCell ref="J41:Q41"/>
    <mergeCell ref="N49:N59"/>
    <mergeCell ref="M49:M58"/>
    <mergeCell ref="AI62:AN62"/>
    <mergeCell ref="D93:E93"/>
    <mergeCell ref="AC84:AE84"/>
    <mergeCell ref="D96:I96"/>
    <mergeCell ref="J96:Q96"/>
    <mergeCell ref="R96:S96"/>
    <mergeCell ref="T96:X96"/>
    <mergeCell ref="Y96:Z96"/>
    <mergeCell ref="AC96:AE96"/>
    <mergeCell ref="AJ70:AJ80"/>
    <mergeCell ref="R84:S84"/>
    <mergeCell ref="AI96:AN96"/>
    <mergeCell ref="J62:Q62"/>
    <mergeCell ref="AF96:AG96"/>
    <mergeCell ref="AI107:AN107"/>
    <mergeCell ref="AI118:AN118"/>
    <mergeCell ref="D84:I84"/>
    <mergeCell ref="M70:M80"/>
    <mergeCell ref="I70:I80"/>
    <mergeCell ref="C83:AO83"/>
    <mergeCell ref="J70:J80"/>
    <mergeCell ref="AI84:AN84"/>
    <mergeCell ref="G70:G80"/>
    <mergeCell ref="H70:H80"/>
    <mergeCell ref="AA71:AA80"/>
    <mergeCell ref="S70:S80"/>
    <mergeCell ref="AK70:AK80"/>
    <mergeCell ref="AG70:AG80"/>
    <mergeCell ref="U70:U81"/>
    <mergeCell ref="AH70:AH80"/>
    <mergeCell ref="AF84:AG84"/>
    <mergeCell ref="D135:E135"/>
    <mergeCell ref="R118:S118"/>
    <mergeCell ref="T118:X118"/>
    <mergeCell ref="Y118:Z118"/>
    <mergeCell ref="C117:AO117"/>
    <mergeCell ref="D118:I118"/>
    <mergeCell ref="J118:Q118"/>
    <mergeCell ref="AF118:AG118"/>
    <mergeCell ref="C49:C58"/>
    <mergeCell ref="T62:X62"/>
    <mergeCell ref="Z49:Z58"/>
    <mergeCell ref="AC62:AE62"/>
    <mergeCell ref="T49:T58"/>
    <mergeCell ref="C61:AO61"/>
    <mergeCell ref="AF62:AG62"/>
    <mergeCell ref="AC70:AC80"/>
    <mergeCell ref="AD70:AD78"/>
    <mergeCell ref="N70:N81"/>
    <mergeCell ref="V70:V81"/>
    <mergeCell ref="AG49:AG58"/>
    <mergeCell ref="Z70:Z80"/>
    <mergeCell ref="AI127:AN127"/>
    <mergeCell ref="K70:K80"/>
    <mergeCell ref="AB70:AB80"/>
    <mergeCell ref="AI5:AN5"/>
    <mergeCell ref="AN70:AN80"/>
    <mergeCell ref="AN49:AN58"/>
    <mergeCell ref="D104:E104"/>
    <mergeCell ref="A1:AE1"/>
    <mergeCell ref="A2:A3"/>
    <mergeCell ref="B2:B3"/>
    <mergeCell ref="D125:E125"/>
    <mergeCell ref="T84:X84"/>
    <mergeCell ref="Y84:Z84"/>
    <mergeCell ref="J84:Q84"/>
    <mergeCell ref="C70:C80"/>
    <mergeCell ref="D70:E80"/>
    <mergeCell ref="F70:F80"/>
    <mergeCell ref="D28:I28"/>
    <mergeCell ref="T28:X28"/>
    <mergeCell ref="AC41:AE41"/>
    <mergeCell ref="C40:AN40"/>
    <mergeCell ref="AF41:AG41"/>
    <mergeCell ref="L49:L58"/>
    <mergeCell ref="U49:U58"/>
    <mergeCell ref="D62:I62"/>
    <mergeCell ref="F49:F58"/>
    <mergeCell ref="J49:J58"/>
  </mergeCells>
  <phoneticPr fontId="61" type="noConversion"/>
  <pageMargins left="0.75" right="0.75" top="1" bottom="1" header="0.5" footer="0.5"/>
  <pageSetup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J84"/>
  <sheetViews>
    <sheetView tabSelected="1" zoomScaleNormal="100" zoomScalePageLayoutView="125" workbookViewId="0">
      <selection activeCell="AN50" sqref="AN50"/>
    </sheetView>
  </sheetViews>
  <sheetFormatPr baseColWidth="10" defaultColWidth="11" defaultRowHeight="16"/>
  <cols>
    <col min="2" max="2" width="6.83203125" style="470" customWidth="1"/>
    <col min="3" max="3" width="31.6640625" customWidth="1"/>
    <col min="4" max="6" width="11" customWidth="1"/>
    <col min="7" max="7" width="11.6640625" customWidth="1"/>
    <col min="8" max="8" width="11" customWidth="1"/>
    <col min="9" max="9" width="12.6640625" customWidth="1"/>
    <col min="10" max="10" width="11" customWidth="1"/>
    <col min="11" max="11" width="11.33203125" customWidth="1"/>
    <col min="12" max="12" width="11" customWidth="1"/>
    <col min="13" max="13" width="10.1640625" customWidth="1"/>
    <col min="14" max="14" width="10.6640625" customWidth="1"/>
    <col min="15" max="16" width="10" customWidth="1"/>
    <col min="17" max="17" width="9.1640625" customWidth="1"/>
    <col min="18" max="18" width="11" customWidth="1"/>
    <col min="19" max="19" width="15.1640625" customWidth="1"/>
    <col min="20" max="20" width="12.6640625" customWidth="1"/>
    <col min="21" max="21" width="9.33203125" customWidth="1"/>
    <col min="22" max="22" width="10.5" customWidth="1"/>
    <col min="23" max="25" width="11" customWidth="1"/>
    <col min="26" max="26" width="14.1640625" customWidth="1"/>
    <col min="27" max="27" width="9" customWidth="1"/>
    <col min="28" max="28" width="10.6640625" customWidth="1"/>
    <col min="29" max="29" width="12" customWidth="1"/>
    <col min="30" max="30" width="10.1640625" customWidth="1"/>
    <col min="31" max="31" width="11.5" customWidth="1"/>
    <col min="32" max="32" width="11" customWidth="1"/>
    <col min="33" max="33" width="14" customWidth="1"/>
    <col min="34" max="35" width="9.83203125" customWidth="1"/>
    <col min="36" max="38" width="11" customWidth="1"/>
    <col min="39" max="39" width="11.83203125" customWidth="1"/>
    <col min="40" max="41" width="11" customWidth="1"/>
    <col min="42" max="42" width="0.6640625" style="484" customWidth="1"/>
    <col min="43" max="43" width="44.1640625" customWidth="1"/>
    <col min="44" max="44" width="9.5" customWidth="1"/>
    <col min="45" max="45" width="9.33203125" customWidth="1"/>
    <col min="46" max="46" width="10.1640625" customWidth="1"/>
    <col min="47" max="47" width="9.5" customWidth="1"/>
    <col min="48" max="48" width="9.83203125" customWidth="1"/>
    <col min="49" max="49" width="8" customWidth="1"/>
    <col min="58" max="58" width="12.5" style="14" customWidth="1"/>
    <col min="59" max="59" width="35.5" customWidth="1"/>
    <col min="60" max="60" width="11" customWidth="1"/>
  </cols>
  <sheetData>
    <row r="1" spans="1:62" ht="19">
      <c r="A1" s="1875" t="s">
        <v>242</v>
      </c>
      <c r="B1" s="1875"/>
      <c r="C1" s="1875"/>
      <c r="D1" s="1875"/>
      <c r="E1" s="1875"/>
      <c r="F1" s="1875"/>
      <c r="G1" s="1875"/>
      <c r="H1" s="1875"/>
      <c r="I1" s="1875"/>
      <c r="J1" s="1875"/>
      <c r="K1" s="1875"/>
      <c r="L1" s="1875"/>
      <c r="M1" s="1875"/>
      <c r="N1" s="1875"/>
      <c r="O1" s="1875"/>
      <c r="P1" s="1875"/>
      <c r="Q1" s="1875"/>
      <c r="R1" s="1875"/>
      <c r="S1" s="1875"/>
      <c r="T1" s="1875"/>
      <c r="U1" s="1875"/>
      <c r="V1" s="1875"/>
      <c r="W1" s="1875"/>
      <c r="X1" s="1875"/>
      <c r="Y1" s="1875"/>
      <c r="Z1" s="1875"/>
      <c r="AA1" s="1875"/>
      <c r="AB1" s="1875"/>
      <c r="AC1" s="1875"/>
      <c r="AD1" s="1875"/>
      <c r="AE1" s="1875"/>
    </row>
    <row r="2" spans="1:62" ht="18" customHeight="1">
      <c r="A2" s="1750" t="s">
        <v>677</v>
      </c>
      <c r="B2" s="1752" t="s">
        <v>676</v>
      </c>
      <c r="C2" s="339" t="s">
        <v>690</v>
      </c>
    </row>
    <row r="3" spans="1:62" s="893" customFormat="1" ht="24" customHeight="1">
      <c r="A3" s="1751"/>
      <c r="B3" s="1704"/>
      <c r="C3" s="894" t="s">
        <v>661</v>
      </c>
      <c r="D3" s="1826" t="s">
        <v>829</v>
      </c>
      <c r="E3" s="1827"/>
      <c r="F3" s="1827"/>
      <c r="G3" s="1827"/>
      <c r="H3" s="1827"/>
      <c r="I3" s="1827"/>
      <c r="J3" s="1773" t="s">
        <v>660</v>
      </c>
      <c r="K3" s="1827"/>
      <c r="L3" s="1827"/>
      <c r="M3" s="1827"/>
      <c r="N3" s="1827"/>
      <c r="O3" s="1827"/>
      <c r="P3" s="1827"/>
      <c r="Q3" s="1827"/>
      <c r="R3" s="890"/>
      <c r="S3" s="890"/>
      <c r="T3" s="891"/>
      <c r="U3" s="891"/>
      <c r="V3" s="891"/>
      <c r="W3" s="891"/>
      <c r="X3" s="891"/>
      <c r="Y3" s="891"/>
      <c r="Z3" s="891"/>
      <c r="AA3" s="891"/>
      <c r="AB3" s="891"/>
      <c r="AC3" s="891"/>
      <c r="AD3" s="891"/>
      <c r="AE3" s="891"/>
      <c r="AF3" s="891"/>
      <c r="AG3" s="891"/>
      <c r="AH3" s="891"/>
      <c r="AI3" s="2015" t="s">
        <v>830</v>
      </c>
      <c r="AJ3" s="2016"/>
      <c r="AK3" s="2016"/>
      <c r="AL3" s="2016"/>
      <c r="AM3" s="2016"/>
      <c r="AN3" s="2016"/>
      <c r="AO3" s="1146"/>
      <c r="AP3" s="892"/>
      <c r="BE3" s="1600" t="s">
        <v>815</v>
      </c>
      <c r="BF3" s="896"/>
    </row>
    <row r="4" spans="1:62" s="893" customFormat="1" ht="7" customHeight="1">
      <c r="A4" s="1210"/>
      <c r="B4" s="1538"/>
      <c r="C4" s="894"/>
      <c r="D4" s="1172"/>
      <c r="E4" s="1568"/>
      <c r="F4" s="1568"/>
      <c r="G4" s="1568"/>
      <c r="H4" s="1568"/>
      <c r="I4" s="1568"/>
      <c r="J4" s="1172"/>
      <c r="K4" s="1568"/>
      <c r="L4" s="1568"/>
      <c r="M4" s="1568"/>
      <c r="N4" s="1568"/>
      <c r="O4" s="1568"/>
      <c r="P4" s="1568"/>
      <c r="Q4" s="1568"/>
      <c r="R4" s="1563"/>
      <c r="S4" s="1563"/>
      <c r="T4" s="1569"/>
      <c r="U4" s="1569"/>
      <c r="V4" s="1569"/>
      <c r="W4" s="1569"/>
      <c r="X4" s="1569"/>
      <c r="Y4" s="1569"/>
      <c r="Z4" s="1569"/>
      <c r="AA4" s="1569"/>
      <c r="AB4" s="1569"/>
      <c r="AC4" s="1569"/>
      <c r="AD4" s="1569"/>
      <c r="AE4" s="1569"/>
      <c r="AF4" s="1569"/>
      <c r="AG4" s="1569"/>
      <c r="AH4" s="1569"/>
      <c r="AI4" s="1573"/>
      <c r="AJ4" s="1574"/>
      <c r="AK4" s="1574"/>
      <c r="AL4" s="1574"/>
      <c r="AM4" s="1574"/>
      <c r="AN4" s="1574"/>
      <c r="AO4" s="1575"/>
      <c r="AP4" s="1576"/>
      <c r="BE4" s="1600"/>
      <c r="BF4" s="896"/>
    </row>
    <row r="5" spans="1:62" s="1229" customFormat="1" ht="34" customHeight="1">
      <c r="B5" s="1508" t="s">
        <v>96</v>
      </c>
      <c r="C5" s="1217" t="s">
        <v>120</v>
      </c>
      <c r="D5" s="1691" t="s">
        <v>168</v>
      </c>
      <c r="E5" s="2031"/>
      <c r="F5" s="2031"/>
      <c r="G5" s="2031"/>
      <c r="H5" s="2031"/>
      <c r="I5" s="1793"/>
      <c r="J5" s="1788" t="s">
        <v>645</v>
      </c>
      <c r="K5" s="1789"/>
      <c r="L5" s="1790"/>
      <c r="M5" s="1790"/>
      <c r="N5" s="1790"/>
      <c r="O5" s="1790"/>
      <c r="P5" s="1791"/>
      <c r="Q5" s="1790"/>
      <c r="R5" s="1684" t="s">
        <v>882</v>
      </c>
      <c r="S5" s="1779"/>
      <c r="T5" s="1880" t="s">
        <v>647</v>
      </c>
      <c r="U5" s="1881"/>
      <c r="V5" s="1881"/>
      <c r="W5" s="1881"/>
      <c r="X5" s="1881"/>
      <c r="Y5" s="1811" t="s">
        <v>648</v>
      </c>
      <c r="Z5" s="1812"/>
      <c r="AA5" s="1276"/>
      <c r="AB5" s="1276"/>
      <c r="AC5" s="1784" t="s">
        <v>162</v>
      </c>
      <c r="AD5" s="1785"/>
      <c r="AE5" s="1785"/>
      <c r="AF5" s="1782" t="s">
        <v>883</v>
      </c>
      <c r="AG5" s="1783"/>
      <c r="AH5" s="1412"/>
      <c r="AI5" s="1823" t="s">
        <v>167</v>
      </c>
      <c r="AJ5" s="1906"/>
      <c r="AK5" s="1906"/>
      <c r="AL5" s="1906"/>
      <c r="AM5" s="1906"/>
      <c r="AN5" s="1907"/>
      <c r="AO5" s="1278"/>
      <c r="AP5" s="1507"/>
      <c r="AQ5" s="1331"/>
      <c r="AR5" s="1331"/>
      <c r="AS5" s="1331"/>
      <c r="AT5" s="1334"/>
      <c r="AU5" s="1331"/>
      <c r="BE5" s="1140" t="s">
        <v>816</v>
      </c>
      <c r="BF5" s="1456"/>
    </row>
    <row r="6" spans="1:62">
      <c r="C6" s="505"/>
      <c r="D6" s="109">
        <v>1</v>
      </c>
      <c r="E6" s="50">
        <f>D6+1</f>
        <v>2</v>
      </c>
      <c r="F6" s="50">
        <f>E6+1</f>
        <v>3</v>
      </c>
      <c r="G6" s="50">
        <f t="shared" ref="G6:AL6" si="0">F6+1</f>
        <v>4</v>
      </c>
      <c r="H6" s="50">
        <f t="shared" si="0"/>
        <v>5</v>
      </c>
      <c r="I6" s="110">
        <f t="shared" si="0"/>
        <v>6</v>
      </c>
      <c r="J6" s="50">
        <f t="shared" si="0"/>
        <v>7</v>
      </c>
      <c r="K6" s="50">
        <f t="shared" si="0"/>
        <v>8</v>
      </c>
      <c r="L6" s="50">
        <f t="shared" si="0"/>
        <v>9</v>
      </c>
      <c r="M6" s="50">
        <f t="shared" si="0"/>
        <v>10</v>
      </c>
      <c r="N6" s="50">
        <f t="shared" si="0"/>
        <v>11</v>
      </c>
      <c r="O6" s="50">
        <f t="shared" si="0"/>
        <v>12</v>
      </c>
      <c r="P6" s="50">
        <f t="shared" si="0"/>
        <v>13</v>
      </c>
      <c r="Q6" s="50">
        <f t="shared" si="0"/>
        <v>14</v>
      </c>
      <c r="R6" s="1005">
        <f t="shared" si="0"/>
        <v>15</v>
      </c>
      <c r="S6" s="1007">
        <f t="shared" si="0"/>
        <v>16</v>
      </c>
      <c r="T6" s="50">
        <f t="shared" si="0"/>
        <v>17</v>
      </c>
      <c r="U6" s="50">
        <f t="shared" si="0"/>
        <v>18</v>
      </c>
      <c r="V6" s="50">
        <f t="shared" si="0"/>
        <v>19</v>
      </c>
      <c r="W6" s="137">
        <f t="shared" si="0"/>
        <v>20</v>
      </c>
      <c r="X6" s="50">
        <f t="shared" si="0"/>
        <v>21</v>
      </c>
      <c r="Y6" s="1005">
        <f t="shared" si="0"/>
        <v>22</v>
      </c>
      <c r="Z6" s="1007">
        <f t="shared" si="0"/>
        <v>23</v>
      </c>
      <c r="AA6" s="109">
        <f t="shared" si="0"/>
        <v>24</v>
      </c>
      <c r="AB6" s="110">
        <f t="shared" si="0"/>
        <v>25</v>
      </c>
      <c r="AC6" s="109">
        <f t="shared" si="0"/>
        <v>26</v>
      </c>
      <c r="AD6" s="50">
        <f t="shared" si="0"/>
        <v>27</v>
      </c>
      <c r="AE6" s="50">
        <f t="shared" si="0"/>
        <v>28</v>
      </c>
      <c r="AF6" s="1005">
        <f t="shared" si="0"/>
        <v>29</v>
      </c>
      <c r="AG6" s="1007">
        <f t="shared" si="0"/>
        <v>30</v>
      </c>
      <c r="AH6" s="150">
        <f t="shared" si="0"/>
        <v>31</v>
      </c>
      <c r="AI6" s="50">
        <f>AH6+1</f>
        <v>32</v>
      </c>
      <c r="AJ6" s="50">
        <f>AI6+1</f>
        <v>33</v>
      </c>
      <c r="AK6" s="50">
        <f t="shared" si="0"/>
        <v>34</v>
      </c>
      <c r="AL6" s="50">
        <f t="shared" si="0"/>
        <v>35</v>
      </c>
      <c r="AM6" s="50">
        <f>AL6+1</f>
        <v>36</v>
      </c>
      <c r="AN6" s="50">
        <f t="shared" ref="AN6" si="1">AM6+1</f>
        <v>37</v>
      </c>
      <c r="AO6" s="50">
        <f t="shared" ref="AO6" si="2">AN6+1</f>
        <v>38</v>
      </c>
      <c r="AP6" s="211"/>
      <c r="AR6" s="4"/>
      <c r="AS6" s="4"/>
      <c r="AT6" s="97"/>
      <c r="AU6" s="4"/>
      <c r="BE6" s="1141" t="s">
        <v>817</v>
      </c>
      <c r="BF6" s="896"/>
    </row>
    <row r="7" spans="1:62" ht="124" customHeight="1">
      <c r="C7" s="1233" t="s">
        <v>1088</v>
      </c>
      <c r="D7" s="1234" t="s">
        <v>453</v>
      </c>
      <c r="E7" s="1235" t="s">
        <v>454</v>
      </c>
      <c r="F7" s="1240" t="s">
        <v>246</v>
      </c>
      <c r="G7" s="1488" t="s">
        <v>234</v>
      </c>
      <c r="H7" s="805" t="s">
        <v>247</v>
      </c>
      <c r="I7" s="1002" t="s">
        <v>248</v>
      </c>
      <c r="J7" s="1239" t="s">
        <v>297</v>
      </c>
      <c r="K7" s="1240" t="s">
        <v>496</v>
      </c>
      <c r="L7" s="1240" t="s">
        <v>485</v>
      </c>
      <c r="M7" s="1240" t="s">
        <v>489</v>
      </c>
      <c r="N7" s="1488" t="s">
        <v>488</v>
      </c>
      <c r="O7" s="1240" t="s">
        <v>490</v>
      </c>
      <c r="P7" s="1240" t="s">
        <v>491</v>
      </c>
      <c r="Q7" s="1501" t="s">
        <v>492</v>
      </c>
      <c r="R7" s="771" t="s">
        <v>1091</v>
      </c>
      <c r="S7" s="400" t="s">
        <v>384</v>
      </c>
      <c r="T7" s="1010" t="s">
        <v>515</v>
      </c>
      <c r="U7" s="1010" t="s">
        <v>493</v>
      </c>
      <c r="V7" s="1010" t="s">
        <v>457</v>
      </c>
      <c r="W7" s="1010" t="s">
        <v>261</v>
      </c>
      <c r="X7" s="1020" t="s">
        <v>494</v>
      </c>
      <c r="Y7" s="521" t="s">
        <v>995</v>
      </c>
      <c r="Z7" s="599" t="s">
        <v>996</v>
      </c>
      <c r="AA7" s="1010" t="s">
        <v>265</v>
      </c>
      <c r="AB7" s="1010" t="s">
        <v>266</v>
      </c>
      <c r="AC7" s="1239" t="s">
        <v>458</v>
      </c>
      <c r="AD7" s="1010" t="s">
        <v>495</v>
      </c>
      <c r="AE7" s="1020" t="s">
        <v>459</v>
      </c>
      <c r="AF7" s="605" t="s">
        <v>350</v>
      </c>
      <c r="AG7" s="187" t="s">
        <v>1104</v>
      </c>
      <c r="AH7" s="1045" t="s">
        <v>271</v>
      </c>
      <c r="AI7" s="1239" t="s">
        <v>808</v>
      </c>
      <c r="AJ7" s="1264" t="s">
        <v>809</v>
      </c>
      <c r="AK7" s="1270" t="s">
        <v>14</v>
      </c>
      <c r="AL7" s="1235" t="s">
        <v>1</v>
      </c>
      <c r="AM7" s="1010" t="s">
        <v>810</v>
      </c>
      <c r="AN7" s="1020" t="s">
        <v>746</v>
      </c>
      <c r="AO7" s="239" t="s">
        <v>272</v>
      </c>
      <c r="AP7" s="209"/>
      <c r="AQ7" s="1200" t="s">
        <v>568</v>
      </c>
      <c r="AR7" s="805" t="s">
        <v>357</v>
      </c>
      <c r="AS7" s="988" t="s">
        <v>273</v>
      </c>
      <c r="AT7" s="806" t="s">
        <v>567</v>
      </c>
      <c r="AU7" s="1008" t="s">
        <v>811</v>
      </c>
      <c r="AV7" s="1008" t="s">
        <v>745</v>
      </c>
      <c r="AW7" s="1364" t="s">
        <v>1099</v>
      </c>
      <c r="BE7" s="1149" t="s">
        <v>822</v>
      </c>
      <c r="BF7" s="1364"/>
      <c r="BH7" s="1364"/>
    </row>
    <row r="8" spans="1:62" s="765" customFormat="1" ht="16" customHeight="1">
      <c r="A8" s="956">
        <v>1</v>
      </c>
      <c r="B8" s="905">
        <v>1</v>
      </c>
      <c r="C8" s="752" t="s">
        <v>1093</v>
      </c>
      <c r="D8" s="1357">
        <v>121</v>
      </c>
      <c r="E8" s="1499">
        <f>2*D8</f>
        <v>242</v>
      </c>
      <c r="F8" s="969">
        <f>2*162</f>
        <v>324</v>
      </c>
      <c r="G8" s="1209">
        <f>1.15*F8</f>
        <v>372.59999999999997</v>
      </c>
      <c r="H8" s="29">
        <f>0.23*E8</f>
        <v>55.660000000000004</v>
      </c>
      <c r="I8" s="31">
        <f>0.5*1.1*H8</f>
        <v>30.613000000000003</v>
      </c>
      <c r="J8" s="1346" t="s">
        <v>136</v>
      </c>
      <c r="K8" s="1347">
        <v>152</v>
      </c>
      <c r="L8" s="1347">
        <v>15</v>
      </c>
      <c r="M8" s="969">
        <v>41</v>
      </c>
      <c r="N8" s="1347" t="s">
        <v>136</v>
      </c>
      <c r="O8" s="1347" t="s">
        <v>136</v>
      </c>
      <c r="P8" s="1347" t="s">
        <v>136</v>
      </c>
      <c r="Q8" s="1502">
        <f>SUM(K8:P8)</f>
        <v>208</v>
      </c>
      <c r="R8" s="754">
        <f>2*Q8</f>
        <v>416</v>
      </c>
      <c r="S8" s="755">
        <f>R8+142</f>
        <v>558</v>
      </c>
      <c r="T8" s="779">
        <v>23</v>
      </c>
      <c r="U8" s="779">
        <v>24</v>
      </c>
      <c r="V8" s="779">
        <v>0</v>
      </c>
      <c r="W8" s="779">
        <v>0</v>
      </c>
      <c r="X8" s="772">
        <f>SUM(T8:W8)</f>
        <v>47</v>
      </c>
      <c r="Y8" s="757">
        <f>2*X8</f>
        <v>94</v>
      </c>
      <c r="Z8" s="530">
        <f>Y8+(23)</f>
        <v>117</v>
      </c>
      <c r="AA8" s="871">
        <f>Z8-H8</f>
        <v>61.339999999999996</v>
      </c>
      <c r="AB8" s="871">
        <f>Z8-I8</f>
        <v>86.387</v>
      </c>
      <c r="AC8" s="759">
        <v>48</v>
      </c>
      <c r="AD8" s="770">
        <f>33.89+(AC8*0.2095)</f>
        <v>43.945999999999998</v>
      </c>
      <c r="AE8" s="772">
        <f>X8-(U8)+AD8</f>
        <v>66.945999999999998</v>
      </c>
      <c r="AF8" s="761">
        <f>2*AE8</f>
        <v>133.892</v>
      </c>
      <c r="AG8" s="762">
        <f>AF8+(23)</f>
        <v>156.892</v>
      </c>
      <c r="AH8" s="16">
        <f>AG8-I8</f>
        <v>126.279</v>
      </c>
      <c r="AI8" s="1303" t="s">
        <v>788</v>
      </c>
      <c r="AJ8" s="672">
        <v>53</v>
      </c>
      <c r="AK8" s="1499">
        <f>(2*AJ8)+(2*71)+(2*45)</f>
        <v>338</v>
      </c>
      <c r="AL8" s="1514">
        <f>S8-AK8</f>
        <v>220</v>
      </c>
      <c r="AM8" s="624" t="s">
        <v>13</v>
      </c>
      <c r="AN8" s="763">
        <f>1*324+1*23</f>
        <v>347</v>
      </c>
      <c r="AO8" s="16">
        <f>Z8-AN8</f>
        <v>-230</v>
      </c>
      <c r="AP8" s="764"/>
      <c r="AQ8" s="752" t="s">
        <v>1098</v>
      </c>
      <c r="AR8" s="276">
        <f>H8</f>
        <v>55.660000000000004</v>
      </c>
      <c r="AS8" s="261">
        <f>Z8</f>
        <v>117</v>
      </c>
      <c r="AT8" s="261">
        <f>AN8</f>
        <v>347</v>
      </c>
      <c r="AU8" s="804">
        <f>S8-G8</f>
        <v>185.40000000000003</v>
      </c>
      <c r="AV8" s="343">
        <f t="shared" ref="AV8" si="3">S8-AK8</f>
        <v>220</v>
      </c>
      <c r="AW8" s="1505">
        <f t="shared" ref="AW8:AW12" si="4">(L8+M8)/S8</f>
        <v>0.1003584229390681</v>
      </c>
      <c r="BE8" s="1160">
        <f>B8</f>
        <v>1</v>
      </c>
      <c r="BF8" s="1597"/>
      <c r="BG8" s="1528"/>
      <c r="BH8" s="1530"/>
    </row>
    <row r="9" spans="1:62">
      <c r="A9" s="596">
        <f t="shared" ref="A9:B12" si="5">A8+1</f>
        <v>2</v>
      </c>
      <c r="B9" s="906">
        <f t="shared" si="5"/>
        <v>2</v>
      </c>
      <c r="C9" s="67" t="s">
        <v>1094</v>
      </c>
      <c r="D9" s="1500">
        <v>155</v>
      </c>
      <c r="E9" s="1499">
        <f>2*D9</f>
        <v>310</v>
      </c>
      <c r="F9" s="1205">
        <f>2*164</f>
        <v>328</v>
      </c>
      <c r="G9" s="1209">
        <f>1.15*F9</f>
        <v>377.2</v>
      </c>
      <c r="H9" s="29">
        <f>0.23*E9</f>
        <v>71.3</v>
      </c>
      <c r="I9" s="29">
        <f>0.5*1.1*H9</f>
        <v>39.215000000000003</v>
      </c>
      <c r="J9" s="1346" t="s">
        <v>136</v>
      </c>
      <c r="K9" s="1347">
        <v>152</v>
      </c>
      <c r="L9" s="1347">
        <v>15</v>
      </c>
      <c r="M9" s="1347">
        <f>98-41</f>
        <v>57</v>
      </c>
      <c r="N9" s="1347" t="s">
        <v>136</v>
      </c>
      <c r="O9" s="1347" t="s">
        <v>136</v>
      </c>
      <c r="P9" s="1347" t="s">
        <v>136</v>
      </c>
      <c r="Q9" s="1502">
        <f>SUM(K9:P9)</f>
        <v>224</v>
      </c>
      <c r="R9" s="754">
        <f>2*Q9</f>
        <v>448</v>
      </c>
      <c r="S9" s="755">
        <f>R9+142</f>
        <v>590</v>
      </c>
      <c r="T9" s="779">
        <v>23</v>
      </c>
      <c r="U9" s="779">
        <v>66</v>
      </c>
      <c r="V9" s="779">
        <v>0</v>
      </c>
      <c r="W9" s="779">
        <v>0</v>
      </c>
      <c r="X9" s="772">
        <f>SUM(T9:W9)</f>
        <v>89</v>
      </c>
      <c r="Y9" s="757">
        <f>2*X9</f>
        <v>178</v>
      </c>
      <c r="Z9" s="530">
        <f>Y9+(23)</f>
        <v>201</v>
      </c>
      <c r="AA9" s="871">
        <f>Z9-H9</f>
        <v>129.69999999999999</v>
      </c>
      <c r="AB9" s="871">
        <f>Z9-I9</f>
        <v>161.785</v>
      </c>
      <c r="AC9" s="559">
        <f>199-48</f>
        <v>151</v>
      </c>
      <c r="AD9" s="770">
        <f t="shared" ref="AD9:AD12" si="6">33.89+(AC9*0.2095)</f>
        <v>65.524500000000003</v>
      </c>
      <c r="AE9" s="772">
        <f>X9-(U9)+AD9</f>
        <v>88.524500000000003</v>
      </c>
      <c r="AF9" s="761">
        <f>2*AE9</f>
        <v>177.04900000000001</v>
      </c>
      <c r="AG9" s="762">
        <f>AF9+(23)</f>
        <v>200.04900000000001</v>
      </c>
      <c r="AH9" s="16">
        <f>AG9-I9</f>
        <v>160.834</v>
      </c>
      <c r="AI9" s="1303" t="s">
        <v>789</v>
      </c>
      <c r="AJ9" s="1540">
        <v>219</v>
      </c>
      <c r="AK9" s="1499">
        <f>(2*AJ9)+(2*71)+(2*45)</f>
        <v>670</v>
      </c>
      <c r="AL9" s="1514">
        <f>S9-AK9</f>
        <v>-80</v>
      </c>
      <c r="AM9" s="624" t="s">
        <v>13</v>
      </c>
      <c r="AN9" s="114">
        <f>541+(1*23)</f>
        <v>564</v>
      </c>
      <c r="AO9" s="16">
        <f>Z9-AN9</f>
        <v>-363</v>
      </c>
      <c r="AP9" s="766"/>
      <c r="AQ9" s="67" t="s">
        <v>155</v>
      </c>
      <c r="AR9" s="276">
        <f t="shared" ref="AR9:AR12" si="7">H9</f>
        <v>71.3</v>
      </c>
      <c r="AS9" s="261">
        <f t="shared" ref="AS9:AS12" si="8">Z9</f>
        <v>201</v>
      </c>
      <c r="AT9" s="261">
        <f t="shared" ref="AT9:AT12" si="9">AN9</f>
        <v>564</v>
      </c>
      <c r="AU9" s="804">
        <f t="shared" ref="AU9:AU12" si="10">S9-G9</f>
        <v>212.8</v>
      </c>
      <c r="AV9" s="343">
        <f t="shared" ref="AV9:AV12" si="11">S9-AK9</f>
        <v>-80</v>
      </c>
      <c r="AW9" s="1505">
        <f t="shared" si="4"/>
        <v>0.12203389830508475</v>
      </c>
      <c r="BE9" s="1160">
        <f t="shared" ref="BE9:BE12" si="12">B9</f>
        <v>2</v>
      </c>
      <c r="BF9" s="1597"/>
      <c r="BG9" s="1529"/>
      <c r="BH9" s="1531"/>
    </row>
    <row r="10" spans="1:62">
      <c r="A10" s="596">
        <f t="shared" si="5"/>
        <v>3</v>
      </c>
      <c r="B10" s="906">
        <f t="shared" si="5"/>
        <v>3</v>
      </c>
      <c r="C10" s="67" t="s">
        <v>1095</v>
      </c>
      <c r="D10" s="1500">
        <v>185</v>
      </c>
      <c r="E10" s="1499">
        <f>2*D10</f>
        <v>370</v>
      </c>
      <c r="F10" s="1205">
        <f>2*175</f>
        <v>350</v>
      </c>
      <c r="G10" s="1209">
        <f>1.15*F10</f>
        <v>402.49999999999994</v>
      </c>
      <c r="H10" s="29">
        <f t="shared" ref="H10:H12" si="13">0.23*E10</f>
        <v>85.100000000000009</v>
      </c>
      <c r="I10" s="29">
        <f>0.5*1.1*H10</f>
        <v>46.805000000000007</v>
      </c>
      <c r="J10" s="1346" t="s">
        <v>136</v>
      </c>
      <c r="K10" s="1347">
        <v>152</v>
      </c>
      <c r="L10" s="1347">
        <v>15</v>
      </c>
      <c r="M10" s="1347">
        <v>66</v>
      </c>
      <c r="N10" s="1347">
        <v>15</v>
      </c>
      <c r="O10" s="1347">
        <v>200</v>
      </c>
      <c r="P10" s="1347" t="s">
        <v>136</v>
      </c>
      <c r="Q10" s="1502">
        <f>SUM(K10:P10)</f>
        <v>448</v>
      </c>
      <c r="R10" s="754">
        <f>2*Q10</f>
        <v>896</v>
      </c>
      <c r="S10" s="755">
        <f>R10+142</f>
        <v>1038</v>
      </c>
      <c r="T10" s="779">
        <v>23</v>
      </c>
      <c r="U10" s="779">
        <v>59</v>
      </c>
      <c r="V10" s="779">
        <v>10</v>
      </c>
      <c r="W10" s="779">
        <v>0</v>
      </c>
      <c r="X10" s="772">
        <f>SUM(T10:W10)</f>
        <v>92</v>
      </c>
      <c r="Y10" s="757">
        <f>2*X10</f>
        <v>184</v>
      </c>
      <c r="Z10" s="530">
        <f>Y10+(23)</f>
        <v>207</v>
      </c>
      <c r="AA10" s="871">
        <f>Z10-H10</f>
        <v>121.89999999999999</v>
      </c>
      <c r="AB10" s="871">
        <f>Z10-I10</f>
        <v>160.19499999999999</v>
      </c>
      <c r="AC10" s="559">
        <f>34+95</f>
        <v>129</v>
      </c>
      <c r="AD10" s="770">
        <f t="shared" si="6"/>
        <v>60.915499999999994</v>
      </c>
      <c r="AE10" s="772">
        <f>X10-(U10)+AD10</f>
        <v>93.915499999999994</v>
      </c>
      <c r="AF10" s="761">
        <f>2*AE10</f>
        <v>187.83099999999999</v>
      </c>
      <c r="AG10" s="762">
        <f>AF10+(23)</f>
        <v>210.83099999999999</v>
      </c>
      <c r="AH10" s="16">
        <f>AG10-I10</f>
        <v>164.02599999999998</v>
      </c>
      <c r="AI10" s="1303" t="s">
        <v>790</v>
      </c>
      <c r="AJ10" s="1540">
        <v>142</v>
      </c>
      <c r="AK10" s="1499">
        <f>(2*AJ10)+(2*71)+(2*45)</f>
        <v>516</v>
      </c>
      <c r="AL10" s="1514">
        <f>S10-AK10</f>
        <v>522</v>
      </c>
      <c r="AM10" s="624" t="s">
        <v>13</v>
      </c>
      <c r="AN10" s="114">
        <f>541+(1*23)</f>
        <v>564</v>
      </c>
      <c r="AO10" s="16">
        <f>Z10-AN10</f>
        <v>-357</v>
      </c>
      <c r="AP10" s="766"/>
      <c r="AQ10" s="9" t="s">
        <v>157</v>
      </c>
      <c r="AR10" s="276">
        <f t="shared" si="7"/>
        <v>85.100000000000009</v>
      </c>
      <c r="AS10" s="261">
        <f t="shared" si="8"/>
        <v>207</v>
      </c>
      <c r="AT10" s="261">
        <f t="shared" si="9"/>
        <v>564</v>
      </c>
      <c r="AU10" s="804">
        <f t="shared" si="10"/>
        <v>635.5</v>
      </c>
      <c r="AV10" s="343">
        <f t="shared" si="11"/>
        <v>522</v>
      </c>
      <c r="AW10" s="1505">
        <f t="shared" si="4"/>
        <v>7.8034682080924858E-2</v>
      </c>
      <c r="BE10" s="1160">
        <f t="shared" si="12"/>
        <v>3</v>
      </c>
      <c r="BF10" s="1597"/>
      <c r="BI10" s="1532"/>
      <c r="BJ10" s="1533"/>
    </row>
    <row r="11" spans="1:62">
      <c r="A11" s="596">
        <f t="shared" si="5"/>
        <v>4</v>
      </c>
      <c r="B11" s="906">
        <f t="shared" si="5"/>
        <v>4</v>
      </c>
      <c r="C11" s="67" t="s">
        <v>1096</v>
      </c>
      <c r="D11" s="1500">
        <v>320</v>
      </c>
      <c r="E11" s="1499">
        <f>2*D11</f>
        <v>640</v>
      </c>
      <c r="F11" s="1205">
        <f>2*310</f>
        <v>620</v>
      </c>
      <c r="G11" s="1209">
        <f>1.15*F11</f>
        <v>713</v>
      </c>
      <c r="H11" s="29">
        <f>0.23*E11</f>
        <v>147.20000000000002</v>
      </c>
      <c r="I11" s="31">
        <f>0.5*1.1*H11</f>
        <v>80.960000000000022</v>
      </c>
      <c r="J11" s="1346" t="s">
        <v>136</v>
      </c>
      <c r="K11" s="1347">
        <v>152</v>
      </c>
      <c r="L11" s="1347">
        <v>15</v>
      </c>
      <c r="M11" s="1347">
        <f>188-41</f>
        <v>147</v>
      </c>
      <c r="N11" s="1347" t="s">
        <v>136</v>
      </c>
      <c r="O11" s="1347" t="s">
        <v>136</v>
      </c>
      <c r="P11" s="1347" t="s">
        <v>136</v>
      </c>
      <c r="Q11" s="1502">
        <f>SUM(K11:P11)</f>
        <v>314</v>
      </c>
      <c r="R11" s="754">
        <f>2*Q11</f>
        <v>628</v>
      </c>
      <c r="S11" s="755">
        <f>R11+142</f>
        <v>770</v>
      </c>
      <c r="T11" s="779">
        <v>23</v>
      </c>
      <c r="U11" s="779">
        <v>93</v>
      </c>
      <c r="V11" s="779">
        <v>0</v>
      </c>
      <c r="W11" s="779">
        <v>0</v>
      </c>
      <c r="X11" s="772">
        <f>SUM(T11:W11)</f>
        <v>116</v>
      </c>
      <c r="Y11" s="757">
        <f>2*X11</f>
        <v>232</v>
      </c>
      <c r="Z11" s="530">
        <f>Y11+(23)</f>
        <v>255</v>
      </c>
      <c r="AA11" s="871">
        <f>Z11-H11</f>
        <v>107.79999999999998</v>
      </c>
      <c r="AB11" s="871">
        <f>Z11-I11</f>
        <v>174.03999999999996</v>
      </c>
      <c r="AC11" s="559">
        <f>306-48</f>
        <v>258</v>
      </c>
      <c r="AD11" s="770">
        <f t="shared" si="6"/>
        <v>87.941000000000003</v>
      </c>
      <c r="AE11" s="772">
        <f>X11-(U11)+AD11</f>
        <v>110.941</v>
      </c>
      <c r="AF11" s="761">
        <f>2*AE11</f>
        <v>221.88200000000001</v>
      </c>
      <c r="AG11" s="762">
        <f>AF11+(23)</f>
        <v>244.88200000000001</v>
      </c>
      <c r="AH11" s="16">
        <f>AG11-I11</f>
        <v>163.92199999999997</v>
      </c>
      <c r="AI11" s="1303" t="s">
        <v>791</v>
      </c>
      <c r="AJ11" s="1540">
        <v>88</v>
      </c>
      <c r="AK11" s="1499">
        <f>(2*AJ11)+(2*71)+(2*45)</f>
        <v>408</v>
      </c>
      <c r="AL11" s="1514">
        <f>S11-AK11</f>
        <v>362</v>
      </c>
      <c r="AM11" s="624" t="s">
        <v>13</v>
      </c>
      <c r="AN11" s="114">
        <f>266+(1*23)</f>
        <v>289</v>
      </c>
      <c r="AO11" s="16">
        <f>Z11-AN11</f>
        <v>-34</v>
      </c>
      <c r="AP11" s="766"/>
      <c r="AQ11" s="9" t="s">
        <v>825</v>
      </c>
      <c r="AR11" s="276">
        <f t="shared" si="7"/>
        <v>147.20000000000002</v>
      </c>
      <c r="AS11" s="261">
        <f t="shared" si="8"/>
        <v>255</v>
      </c>
      <c r="AT11" s="261">
        <f t="shared" si="9"/>
        <v>289</v>
      </c>
      <c r="AU11" s="804">
        <f t="shared" si="10"/>
        <v>57</v>
      </c>
      <c r="AV11" s="343">
        <f t="shared" si="11"/>
        <v>362</v>
      </c>
      <c r="AW11" s="1505">
        <f t="shared" si="4"/>
        <v>0.21038961038961038</v>
      </c>
      <c r="BE11" s="1160">
        <f t="shared" si="12"/>
        <v>4</v>
      </c>
      <c r="BF11" s="1597"/>
    </row>
    <row r="12" spans="1:62">
      <c r="A12" s="596">
        <f t="shared" si="5"/>
        <v>5</v>
      </c>
      <c r="B12" s="906">
        <f t="shared" si="5"/>
        <v>5</v>
      </c>
      <c r="C12" s="67" t="s">
        <v>1097</v>
      </c>
      <c r="D12" s="1500">
        <v>438</v>
      </c>
      <c r="E12" s="1499">
        <f>2*D12</f>
        <v>876</v>
      </c>
      <c r="F12" s="1205">
        <f>2*422</f>
        <v>844</v>
      </c>
      <c r="G12" s="1209">
        <f>1.15*F12</f>
        <v>970.59999999999991</v>
      </c>
      <c r="H12" s="29">
        <f t="shared" si="13"/>
        <v>201.48000000000002</v>
      </c>
      <c r="I12" s="29">
        <f>0.5*1.1*H12</f>
        <v>110.81400000000002</v>
      </c>
      <c r="J12" s="1346" t="s">
        <v>136</v>
      </c>
      <c r="K12" s="1347">
        <v>152</v>
      </c>
      <c r="L12" s="1347">
        <v>15</v>
      </c>
      <c r="M12" s="1347">
        <f>188-41</f>
        <v>147</v>
      </c>
      <c r="N12" s="1347">
        <v>30</v>
      </c>
      <c r="O12" s="1347">
        <v>176</v>
      </c>
      <c r="P12" s="1347" t="s">
        <v>136</v>
      </c>
      <c r="Q12" s="1502">
        <f>SUM(K12:P12)</f>
        <v>520</v>
      </c>
      <c r="R12" s="754">
        <f>2*Q12</f>
        <v>1040</v>
      </c>
      <c r="S12" s="755">
        <f>R12+142</f>
        <v>1182</v>
      </c>
      <c r="T12" s="779">
        <v>23</v>
      </c>
      <c r="U12" s="779">
        <v>93</v>
      </c>
      <c r="V12" s="779">
        <v>36.5</v>
      </c>
      <c r="W12" s="779">
        <v>0</v>
      </c>
      <c r="X12" s="772">
        <f>SUM(T12:V12)</f>
        <v>152.5</v>
      </c>
      <c r="Y12" s="757">
        <f>2*X12</f>
        <v>305</v>
      </c>
      <c r="Z12" s="530">
        <f>Y12+(23)</f>
        <v>328</v>
      </c>
      <c r="AA12" s="871">
        <f>Z12-H12</f>
        <v>126.51999999999998</v>
      </c>
      <c r="AB12" s="871">
        <f>Z12-I12</f>
        <v>217.18599999999998</v>
      </c>
      <c r="AC12" s="559">
        <f>306-48</f>
        <v>258</v>
      </c>
      <c r="AD12" s="770">
        <f t="shared" si="6"/>
        <v>87.941000000000003</v>
      </c>
      <c r="AE12" s="772">
        <f>X12-(U12)+AD12</f>
        <v>147.441</v>
      </c>
      <c r="AF12" s="761">
        <f>2*AE12</f>
        <v>294.88200000000001</v>
      </c>
      <c r="AG12" s="762">
        <f>AF12+(23)</f>
        <v>317.88200000000001</v>
      </c>
      <c r="AH12" s="16">
        <f>AG12-I12</f>
        <v>207.06799999999998</v>
      </c>
      <c r="AI12" s="1303" t="s">
        <v>792</v>
      </c>
      <c r="AJ12" s="1540">
        <v>83</v>
      </c>
      <c r="AK12" s="1499">
        <f>(2*AJ12)+(2*71)+(2*45)</f>
        <v>398</v>
      </c>
      <c r="AL12" s="1514">
        <f>S12-AK12</f>
        <v>784</v>
      </c>
      <c r="AM12" s="624" t="s">
        <v>13</v>
      </c>
      <c r="AN12" s="114">
        <f>340+(1*23)</f>
        <v>363</v>
      </c>
      <c r="AO12" s="16">
        <f>Z12-AN12</f>
        <v>-35</v>
      </c>
      <c r="AP12" s="766"/>
      <c r="AQ12" s="9" t="s">
        <v>156</v>
      </c>
      <c r="AR12" s="276">
        <f t="shared" si="7"/>
        <v>201.48000000000002</v>
      </c>
      <c r="AS12" s="261">
        <f t="shared" si="8"/>
        <v>328</v>
      </c>
      <c r="AT12" s="261">
        <f t="shared" si="9"/>
        <v>363</v>
      </c>
      <c r="AU12" s="804">
        <f t="shared" si="10"/>
        <v>211.40000000000009</v>
      </c>
      <c r="AV12" s="343">
        <f t="shared" si="11"/>
        <v>784</v>
      </c>
      <c r="AW12" s="1505">
        <f t="shared" si="4"/>
        <v>0.13705583756345177</v>
      </c>
      <c r="BE12" s="1160">
        <f t="shared" si="12"/>
        <v>5</v>
      </c>
      <c r="BF12" s="1597"/>
    </row>
    <row r="13" spans="1:62" ht="288" customHeight="1">
      <c r="C13" s="461"/>
      <c r="D13" s="1819" t="s">
        <v>1085</v>
      </c>
      <c r="E13" s="1707"/>
      <c r="F13" s="1070" t="s">
        <v>1086</v>
      </c>
      <c r="G13" s="1077" t="s">
        <v>1087</v>
      </c>
      <c r="H13" s="1238" t="s">
        <v>193</v>
      </c>
      <c r="I13" s="996"/>
      <c r="J13" s="14"/>
      <c r="K13" s="1070" t="s">
        <v>1089</v>
      </c>
      <c r="L13" s="1426" t="s">
        <v>487</v>
      </c>
      <c r="M13" s="1490" t="s">
        <v>1090</v>
      </c>
      <c r="N13" s="1426" t="s">
        <v>486</v>
      </c>
      <c r="O13" s="399" t="s">
        <v>1168</v>
      </c>
      <c r="P13" s="172"/>
      <c r="Q13" s="172"/>
      <c r="R13" s="425"/>
      <c r="S13" s="1491" t="s">
        <v>1052</v>
      </c>
      <c r="T13" s="1070" t="s">
        <v>1092</v>
      </c>
      <c r="U13" s="1350" t="s">
        <v>213</v>
      </c>
      <c r="V13" s="1496" t="s">
        <v>1162</v>
      </c>
      <c r="W13" s="1070"/>
      <c r="X13" s="481"/>
      <c r="Y13" s="161"/>
      <c r="Z13" s="553" t="s">
        <v>1051</v>
      </c>
      <c r="AA13" s="174"/>
      <c r="AB13" s="1493" t="s">
        <v>192</v>
      </c>
      <c r="AC13" s="1495" t="s">
        <v>1142</v>
      </c>
      <c r="AD13" s="198"/>
      <c r="AE13" s="140"/>
      <c r="AF13" s="117"/>
      <c r="AG13" s="553" t="s">
        <v>1051</v>
      </c>
      <c r="AH13" s="26"/>
      <c r="AI13" s="26"/>
      <c r="AJ13" s="1371" t="s">
        <v>1145</v>
      </c>
      <c r="AK13" s="1490" t="s">
        <v>15</v>
      </c>
      <c r="AL13" s="47"/>
      <c r="AM13" s="47"/>
      <c r="AN13" s="1497" t="s">
        <v>1054</v>
      </c>
      <c r="AQ13" s="1504"/>
    </row>
    <row r="14" spans="1:62">
      <c r="C14" s="461"/>
      <c r="AU14" s="510" t="s">
        <v>105</v>
      </c>
      <c r="AV14" s="510"/>
    </row>
    <row r="15" spans="1:62">
      <c r="C15" s="461"/>
      <c r="AW15" s="510" t="s">
        <v>105</v>
      </c>
    </row>
    <row r="16" spans="1:62" s="1229" customFormat="1" ht="31" customHeight="1">
      <c r="B16" s="1508" t="s">
        <v>97</v>
      </c>
      <c r="C16" s="1217" t="s">
        <v>120</v>
      </c>
      <c r="D16" s="1691" t="s">
        <v>168</v>
      </c>
      <c r="E16" s="2031"/>
      <c r="F16" s="2031"/>
      <c r="G16" s="2031"/>
      <c r="H16" s="2031"/>
      <c r="I16" s="1793"/>
      <c r="J16" s="1788" t="s">
        <v>645</v>
      </c>
      <c r="K16" s="1789"/>
      <c r="L16" s="1790"/>
      <c r="M16" s="1790"/>
      <c r="N16" s="1790"/>
      <c r="O16" s="1790"/>
      <c r="P16" s="1791"/>
      <c r="Q16" s="1790"/>
      <c r="R16" s="1684" t="s">
        <v>882</v>
      </c>
      <c r="S16" s="1779"/>
      <c r="T16" s="1880" t="s">
        <v>647</v>
      </c>
      <c r="U16" s="1881"/>
      <c r="V16" s="1881"/>
      <c r="W16" s="1881"/>
      <c r="X16" s="1881"/>
      <c r="Y16" s="1811" t="s">
        <v>648</v>
      </c>
      <c r="Z16" s="1812"/>
      <c r="AA16" s="1276"/>
      <c r="AB16" s="1276"/>
      <c r="AC16" s="1784" t="s">
        <v>162</v>
      </c>
      <c r="AD16" s="1785"/>
      <c r="AE16" s="1785"/>
      <c r="AF16" s="1782" t="s">
        <v>883</v>
      </c>
      <c r="AG16" s="1783"/>
      <c r="AH16" s="1276"/>
      <c r="AI16" s="2008" t="s">
        <v>167</v>
      </c>
      <c r="AJ16" s="2009"/>
      <c r="AK16" s="2009"/>
      <c r="AL16" s="2009"/>
      <c r="AM16" s="2009"/>
      <c r="AN16" s="2010"/>
      <c r="AO16" s="1278"/>
      <c r="AP16" s="1507"/>
      <c r="AQ16" s="1331"/>
      <c r="AR16" s="1331"/>
      <c r="AS16" s="1331"/>
      <c r="AT16" s="1334"/>
      <c r="AU16" s="1331"/>
      <c r="BF16" s="1219"/>
    </row>
    <row r="17" spans="1:58">
      <c r="C17" s="505"/>
      <c r="D17" s="50">
        <v>1</v>
      </c>
      <c r="E17" s="50">
        <f t="shared" ref="E17:AL17" si="14">D17+1</f>
        <v>2</v>
      </c>
      <c r="F17" s="50">
        <f t="shared" si="14"/>
        <v>3</v>
      </c>
      <c r="G17" s="50">
        <f t="shared" si="14"/>
        <v>4</v>
      </c>
      <c r="H17" s="50">
        <f t="shared" si="14"/>
        <v>5</v>
      </c>
      <c r="I17" s="50">
        <f t="shared" si="14"/>
        <v>6</v>
      </c>
      <c r="J17" s="50">
        <f t="shared" si="14"/>
        <v>7</v>
      </c>
      <c r="K17" s="50">
        <f t="shared" si="14"/>
        <v>8</v>
      </c>
      <c r="L17" s="50">
        <f t="shared" si="14"/>
        <v>9</v>
      </c>
      <c r="M17" s="50">
        <f t="shared" si="14"/>
        <v>10</v>
      </c>
      <c r="N17" s="50">
        <f t="shared" si="14"/>
        <v>11</v>
      </c>
      <c r="O17" s="50">
        <f t="shared" si="14"/>
        <v>12</v>
      </c>
      <c r="P17" s="50">
        <f t="shared" si="14"/>
        <v>13</v>
      </c>
      <c r="Q17" s="50">
        <f t="shared" si="14"/>
        <v>14</v>
      </c>
      <c r="R17" s="1005">
        <f>Q17+1</f>
        <v>15</v>
      </c>
      <c r="S17" s="1007">
        <f>R17+1</f>
        <v>16</v>
      </c>
      <c r="T17" s="109">
        <f t="shared" si="14"/>
        <v>17</v>
      </c>
      <c r="U17" s="50">
        <f t="shared" si="14"/>
        <v>18</v>
      </c>
      <c r="V17" s="50">
        <f t="shared" si="14"/>
        <v>19</v>
      </c>
      <c r="W17" s="137">
        <f t="shared" si="14"/>
        <v>20</v>
      </c>
      <c r="X17" s="110">
        <f t="shared" si="14"/>
        <v>21</v>
      </c>
      <c r="Y17" s="137">
        <f t="shared" si="14"/>
        <v>22</v>
      </c>
      <c r="Z17" s="137">
        <f t="shared" si="14"/>
        <v>23</v>
      </c>
      <c r="AA17" s="109">
        <f t="shared" si="14"/>
        <v>24</v>
      </c>
      <c r="AB17" s="110">
        <f t="shared" si="14"/>
        <v>25</v>
      </c>
      <c r="AC17" s="50">
        <f t="shared" si="14"/>
        <v>26</v>
      </c>
      <c r="AD17" s="50">
        <f t="shared" si="14"/>
        <v>27</v>
      </c>
      <c r="AE17" s="50">
        <f t="shared" si="14"/>
        <v>28</v>
      </c>
      <c r="AF17" s="1005">
        <f t="shared" si="14"/>
        <v>29</v>
      </c>
      <c r="AG17" s="1007">
        <f t="shared" si="14"/>
        <v>30</v>
      </c>
      <c r="AH17" s="50">
        <f t="shared" si="14"/>
        <v>31</v>
      </c>
      <c r="AI17" s="50">
        <f>AH17+1</f>
        <v>32</v>
      </c>
      <c r="AJ17" s="50">
        <f>AI17+1</f>
        <v>33</v>
      </c>
      <c r="AK17" s="50">
        <f t="shared" si="14"/>
        <v>34</v>
      </c>
      <c r="AL17" s="50">
        <f t="shared" si="14"/>
        <v>35</v>
      </c>
      <c r="AM17" s="50">
        <f t="shared" ref="AM17" si="15">AL17+1</f>
        <v>36</v>
      </c>
      <c r="AN17" s="50">
        <f t="shared" ref="AN17" si="16">AM17+1</f>
        <v>37</v>
      </c>
      <c r="AO17" s="50">
        <f t="shared" ref="AO17" si="17">AN17+1</f>
        <v>38</v>
      </c>
      <c r="AP17" s="211"/>
      <c r="AR17" s="4"/>
      <c r="AS17" s="4"/>
      <c r="AT17" s="97"/>
      <c r="AU17" s="4"/>
    </row>
    <row r="18" spans="1:58" ht="126" customHeight="1">
      <c r="C18" s="1233" t="s">
        <v>1100</v>
      </c>
      <c r="D18" s="1234" t="s">
        <v>460</v>
      </c>
      <c r="E18" s="1235" t="s">
        <v>461</v>
      </c>
      <c r="F18" s="1235" t="s">
        <v>246</v>
      </c>
      <c r="G18" s="1236" t="s">
        <v>234</v>
      </c>
      <c r="H18" s="805" t="s">
        <v>247</v>
      </c>
      <c r="I18" s="1002" t="s">
        <v>248</v>
      </c>
      <c r="J18" s="1239" t="s">
        <v>297</v>
      </c>
      <c r="K18" s="1240" t="s">
        <v>462</v>
      </c>
      <c r="L18" s="1240" t="s">
        <v>463</v>
      </c>
      <c r="M18" s="1240" t="s">
        <v>464</v>
      </c>
      <c r="N18" s="1240" t="s">
        <v>498</v>
      </c>
      <c r="O18" s="1240" t="s">
        <v>465</v>
      </c>
      <c r="P18" s="1240" t="s">
        <v>466</v>
      </c>
      <c r="Q18" s="1501" t="s">
        <v>492</v>
      </c>
      <c r="R18" s="771" t="s">
        <v>1091</v>
      </c>
      <c r="S18" s="400" t="s">
        <v>384</v>
      </c>
      <c r="T18" s="1010" t="s">
        <v>515</v>
      </c>
      <c r="U18" s="1010" t="s">
        <v>499</v>
      </c>
      <c r="V18" s="1010" t="s">
        <v>500</v>
      </c>
      <c r="W18" s="1010" t="s">
        <v>261</v>
      </c>
      <c r="X18" s="1020" t="s">
        <v>494</v>
      </c>
      <c r="Y18" s="521" t="s">
        <v>995</v>
      </c>
      <c r="Z18" s="599" t="s">
        <v>996</v>
      </c>
      <c r="AA18" s="1010" t="s">
        <v>265</v>
      </c>
      <c r="AB18" s="1010" t="s">
        <v>266</v>
      </c>
      <c r="AC18" s="1239" t="s">
        <v>467</v>
      </c>
      <c r="AD18" s="1010" t="s">
        <v>495</v>
      </c>
      <c r="AE18" s="1010" t="s">
        <v>468</v>
      </c>
      <c r="AF18" s="605" t="s">
        <v>350</v>
      </c>
      <c r="AG18" s="187" t="s">
        <v>1104</v>
      </c>
      <c r="AH18" s="1087" t="s">
        <v>271</v>
      </c>
      <c r="AI18" s="1240" t="s">
        <v>808</v>
      </c>
      <c r="AJ18" s="1264" t="s">
        <v>809</v>
      </c>
      <c r="AK18" s="1240" t="s">
        <v>14</v>
      </c>
      <c r="AL18" s="1235" t="s">
        <v>1</v>
      </c>
      <c r="AM18" s="1010" t="s">
        <v>810</v>
      </c>
      <c r="AN18" s="1002" t="s">
        <v>746</v>
      </c>
      <c r="AO18" s="239" t="s">
        <v>272</v>
      </c>
      <c r="AP18" s="209"/>
      <c r="AQ18" s="408" t="s">
        <v>570</v>
      </c>
      <c r="AR18" s="805" t="s">
        <v>357</v>
      </c>
      <c r="AS18" s="988" t="s">
        <v>273</v>
      </c>
      <c r="AT18" s="806" t="s">
        <v>567</v>
      </c>
      <c r="AU18" s="1008" t="s">
        <v>811</v>
      </c>
      <c r="AV18" s="1008" t="s">
        <v>745</v>
      </c>
      <c r="AW18" s="1364" t="s">
        <v>1099</v>
      </c>
      <c r="BE18" s="1149" t="s">
        <v>822</v>
      </c>
      <c r="BF18" s="1364"/>
    </row>
    <row r="19" spans="1:58">
      <c r="A19" s="596">
        <f>A12+1</f>
        <v>6</v>
      </c>
      <c r="B19" s="907">
        <f>B12+1</f>
        <v>6</v>
      </c>
      <c r="C19" s="476" t="s">
        <v>46</v>
      </c>
      <c r="D19" s="1500">
        <v>235</v>
      </c>
      <c r="E19" s="1499">
        <f>2*D19</f>
        <v>470</v>
      </c>
      <c r="F19" s="1499">
        <f>2*237</f>
        <v>474</v>
      </c>
      <c r="G19" s="1506">
        <f>1.15*F19</f>
        <v>545.09999999999991</v>
      </c>
      <c r="H19" s="1080">
        <f>0.23*E19</f>
        <v>108.10000000000001</v>
      </c>
      <c r="I19" s="1081">
        <f>0.5*1.1*H19</f>
        <v>59.455000000000013</v>
      </c>
      <c r="J19" s="1346" t="s">
        <v>136</v>
      </c>
      <c r="K19" s="1347">
        <v>125</v>
      </c>
      <c r="L19" s="1347">
        <v>15</v>
      </c>
      <c r="M19" s="1347">
        <f>188-41</f>
        <v>147</v>
      </c>
      <c r="N19" s="1347">
        <v>15</v>
      </c>
      <c r="O19" s="1347">
        <v>152</v>
      </c>
      <c r="P19" s="1347" t="s">
        <v>13</v>
      </c>
      <c r="Q19" s="1502">
        <f>SUM(J19:P19)</f>
        <v>454</v>
      </c>
      <c r="R19" s="754">
        <f>2*Q19</f>
        <v>908</v>
      </c>
      <c r="S19" s="498">
        <f>R19+(2*71)</f>
        <v>1050</v>
      </c>
      <c r="T19" s="769">
        <v>14</v>
      </c>
      <c r="U19" s="1078">
        <v>93</v>
      </c>
      <c r="V19" s="1078">
        <v>0</v>
      </c>
      <c r="W19" s="1078">
        <v>23</v>
      </c>
      <c r="X19" s="772">
        <f>SUM(T19:W19)</f>
        <v>130</v>
      </c>
      <c r="Y19" s="757">
        <f>2*X19</f>
        <v>260</v>
      </c>
      <c r="Z19" s="522">
        <f>Y19+(23)</f>
        <v>283</v>
      </c>
      <c r="AA19" s="734">
        <f>Z19-H19</f>
        <v>174.89999999999998</v>
      </c>
      <c r="AB19" s="1509">
        <f>Z19-I19</f>
        <v>223.54499999999999</v>
      </c>
      <c r="AC19" s="479">
        <f>466-48</f>
        <v>418</v>
      </c>
      <c r="AD19" s="770">
        <f t="shared" ref="AD19:AD21" si="18">33.89+(AC19*0.2095)</f>
        <v>121.461</v>
      </c>
      <c r="AE19" s="770">
        <f>X19-U19+AD19</f>
        <v>158.46100000000001</v>
      </c>
      <c r="AF19" s="785">
        <f>2*AE19</f>
        <v>316.92200000000003</v>
      </c>
      <c r="AG19" s="502">
        <f>AF19+(23)</f>
        <v>339.92200000000003</v>
      </c>
      <c r="AH19" s="1512">
        <f>AG19-I19</f>
        <v>280.46699999999998</v>
      </c>
      <c r="AI19" s="1503" t="s">
        <v>793</v>
      </c>
      <c r="AJ19" s="491">
        <v>188</v>
      </c>
      <c r="AK19" s="491">
        <f>(2*AJ19)+(2*71)+(2*45)</f>
        <v>608</v>
      </c>
      <c r="AL19" s="494">
        <f>S19-AK19</f>
        <v>442</v>
      </c>
      <c r="AM19" s="624" t="s">
        <v>13</v>
      </c>
      <c r="AN19" s="482">
        <f>544+(1*23)</f>
        <v>567</v>
      </c>
      <c r="AO19" s="474">
        <f>Z19-AN19</f>
        <v>-284</v>
      </c>
      <c r="AP19" s="483"/>
      <c r="AQ19" s="476" t="s">
        <v>49</v>
      </c>
      <c r="AR19" s="276">
        <f>H19</f>
        <v>108.10000000000001</v>
      </c>
      <c r="AS19" s="261">
        <f>Z19</f>
        <v>283</v>
      </c>
      <c r="AT19" s="261">
        <f>AN19</f>
        <v>567</v>
      </c>
      <c r="AU19" s="804">
        <f t="shared" ref="AU19:AU22" si="19">S19-G19</f>
        <v>504.90000000000009</v>
      </c>
      <c r="AV19" s="343">
        <f t="shared" ref="AV19:AV22" si="20">S19-AK19</f>
        <v>442</v>
      </c>
      <c r="AW19" s="1505">
        <f>(L19+M19)/S19</f>
        <v>0.15428571428571428</v>
      </c>
      <c r="BE19" s="1145">
        <f>B19</f>
        <v>6</v>
      </c>
      <c r="BF19" s="1597"/>
    </row>
    <row r="20" spans="1:58">
      <c r="A20" s="596">
        <f t="shared" ref="A20:B22" si="21">A19+1</f>
        <v>7</v>
      </c>
      <c r="B20" s="907">
        <f t="shared" si="21"/>
        <v>7</v>
      </c>
      <c r="C20" s="9" t="s">
        <v>497</v>
      </c>
      <c r="D20" s="1500">
        <v>386</v>
      </c>
      <c r="E20" s="1499">
        <f>2*D20</f>
        <v>772</v>
      </c>
      <c r="F20" s="1499">
        <f>2*361</f>
        <v>722</v>
      </c>
      <c r="G20" s="1506">
        <f>1.15*F20</f>
        <v>830.3</v>
      </c>
      <c r="H20" s="1080">
        <f t="shared" ref="H20:H22" si="22">0.23*E20</f>
        <v>177.56</v>
      </c>
      <c r="I20" s="1081">
        <f>0.5*1.1*H20</f>
        <v>97.658000000000015</v>
      </c>
      <c r="J20" s="1346" t="s">
        <v>136</v>
      </c>
      <c r="K20" s="1347">
        <v>125</v>
      </c>
      <c r="L20" s="1347">
        <v>15</v>
      </c>
      <c r="M20" s="1347">
        <v>142</v>
      </c>
      <c r="N20" s="1347">
        <v>15</v>
      </c>
      <c r="O20" s="1347">
        <f>200</f>
        <v>200</v>
      </c>
      <c r="P20" s="1347" t="s">
        <v>13</v>
      </c>
      <c r="Q20" s="1502">
        <f>SUM(J20:P20)</f>
        <v>497</v>
      </c>
      <c r="R20" s="754">
        <f>2*Q20</f>
        <v>994</v>
      </c>
      <c r="S20" s="498">
        <f>R20+(2*71)</f>
        <v>1136</v>
      </c>
      <c r="T20" s="769">
        <v>14</v>
      </c>
      <c r="U20" s="1078">
        <v>93</v>
      </c>
      <c r="V20" s="1078">
        <v>0</v>
      </c>
      <c r="W20" s="1078">
        <v>10</v>
      </c>
      <c r="X20" s="772">
        <f>SUM(T20:W20)</f>
        <v>117</v>
      </c>
      <c r="Y20" s="757">
        <f>2*X20</f>
        <v>234</v>
      </c>
      <c r="Z20" s="522">
        <f>Y20+(23)</f>
        <v>257</v>
      </c>
      <c r="AA20" s="734">
        <f>Z20-H20</f>
        <v>79.44</v>
      </c>
      <c r="AB20" s="1509">
        <f>Z20-I20</f>
        <v>159.34199999999998</v>
      </c>
      <c r="AC20" s="479">
        <f>466-199</f>
        <v>267</v>
      </c>
      <c r="AD20" s="770">
        <f t="shared" si="18"/>
        <v>89.826499999999996</v>
      </c>
      <c r="AE20" s="770">
        <f>X20-U20+AD20</f>
        <v>113.8265</v>
      </c>
      <c r="AF20" s="785">
        <f>2*AE20</f>
        <v>227.65299999999999</v>
      </c>
      <c r="AG20" s="502">
        <f>AF20+(23)</f>
        <v>250.65299999999999</v>
      </c>
      <c r="AH20" s="1512">
        <f>AG20-I20</f>
        <v>152.99499999999998</v>
      </c>
      <c r="AI20" s="1503" t="s">
        <v>770</v>
      </c>
      <c r="AJ20" s="491">
        <v>277</v>
      </c>
      <c r="AK20" s="491">
        <f>(2*AJ20)+(2*71)+(2*45)</f>
        <v>786</v>
      </c>
      <c r="AL20" s="494">
        <f>S20-AK20</f>
        <v>350</v>
      </c>
      <c r="AM20" s="624" t="s">
        <v>13</v>
      </c>
      <c r="AN20" s="482">
        <f>520+(1*23)</f>
        <v>543</v>
      </c>
      <c r="AO20" s="474">
        <f>Z20-AN20</f>
        <v>-286</v>
      </c>
      <c r="AP20" s="483"/>
      <c r="AQ20" s="476" t="s">
        <v>50</v>
      </c>
      <c r="AR20" s="276">
        <f t="shared" ref="AR20:AR22" si="23">H20</f>
        <v>177.56</v>
      </c>
      <c r="AS20" s="261">
        <f t="shared" ref="AS20:AS22" si="24">Z20</f>
        <v>257</v>
      </c>
      <c r="AT20" s="261">
        <f t="shared" ref="AT20:AT22" si="25">AN20</f>
        <v>543</v>
      </c>
      <c r="AU20" s="804">
        <f t="shared" si="19"/>
        <v>305.70000000000005</v>
      </c>
      <c r="AV20" s="343">
        <f t="shared" si="20"/>
        <v>350</v>
      </c>
      <c r="AW20" s="1505">
        <f t="shared" ref="AW20:AW21" si="26">(L20+M20)/S20</f>
        <v>0.13820422535211269</v>
      </c>
      <c r="BE20" s="1145">
        <f t="shared" ref="BE20:BE22" si="27">B20</f>
        <v>7</v>
      </c>
      <c r="BF20" s="1597"/>
    </row>
    <row r="21" spans="1:58">
      <c r="A21" s="596">
        <f t="shared" si="21"/>
        <v>8</v>
      </c>
      <c r="B21" s="907">
        <f t="shared" si="21"/>
        <v>8</v>
      </c>
      <c r="C21" s="476" t="s">
        <v>47</v>
      </c>
      <c r="D21" s="1500">
        <v>254</v>
      </c>
      <c r="E21" s="1499">
        <f>2*D21</f>
        <v>508</v>
      </c>
      <c r="F21" s="1499">
        <f>2*231</f>
        <v>462</v>
      </c>
      <c r="G21" s="1506">
        <f>1.15*F21</f>
        <v>531.29999999999995</v>
      </c>
      <c r="H21" s="1080">
        <f t="shared" si="22"/>
        <v>116.84</v>
      </c>
      <c r="I21" s="1081">
        <f>0.5*1.1*H21</f>
        <v>64.262</v>
      </c>
      <c r="J21" s="1346" t="s">
        <v>136</v>
      </c>
      <c r="K21" s="1347">
        <v>125</v>
      </c>
      <c r="L21" s="1347">
        <v>15</v>
      </c>
      <c r="M21" s="1347">
        <f>214-98</f>
        <v>116</v>
      </c>
      <c r="N21" s="1347" t="s">
        <v>13</v>
      </c>
      <c r="O21" s="1347" t="s">
        <v>13</v>
      </c>
      <c r="P21" s="1347" t="s">
        <v>13</v>
      </c>
      <c r="Q21" s="1502">
        <f>SUM(J21:P21)</f>
        <v>256</v>
      </c>
      <c r="R21" s="754">
        <f>2*Q21</f>
        <v>512</v>
      </c>
      <c r="S21" s="498">
        <f>R21+(2*71)</f>
        <v>654</v>
      </c>
      <c r="T21" s="769">
        <v>14</v>
      </c>
      <c r="U21" s="1078">
        <v>82</v>
      </c>
      <c r="V21" s="1078">
        <v>0</v>
      </c>
      <c r="W21" s="1078">
        <v>0</v>
      </c>
      <c r="X21" s="772">
        <f>SUM(T21:W21)</f>
        <v>96</v>
      </c>
      <c r="Y21" s="757">
        <f>2*X21</f>
        <v>192</v>
      </c>
      <c r="Z21" s="522">
        <f>Y21+(23)</f>
        <v>215</v>
      </c>
      <c r="AA21" s="734">
        <f>Z21-H21</f>
        <v>98.16</v>
      </c>
      <c r="AB21" s="1509">
        <f>Z21-I21</f>
        <v>150.738</v>
      </c>
      <c r="AC21" s="479">
        <f>466-199</f>
        <v>267</v>
      </c>
      <c r="AD21" s="770">
        <f t="shared" si="18"/>
        <v>89.826499999999996</v>
      </c>
      <c r="AE21" s="770">
        <f>X21-U21+AD21</f>
        <v>103.8265</v>
      </c>
      <c r="AF21" s="785">
        <f>2*AE21</f>
        <v>207.65299999999999</v>
      </c>
      <c r="AG21" s="502">
        <f>AF21+(23)</f>
        <v>230.65299999999999</v>
      </c>
      <c r="AH21" s="1512">
        <f>AG21-I21</f>
        <v>166.39099999999999</v>
      </c>
      <c r="AI21" s="1503" t="s">
        <v>794</v>
      </c>
      <c r="AJ21" s="491">
        <v>228</v>
      </c>
      <c r="AK21" s="491">
        <f>(2*AJ21)+(2*71)+(2*45)</f>
        <v>688</v>
      </c>
      <c r="AL21" s="494">
        <f>S21-AK21</f>
        <v>-34</v>
      </c>
      <c r="AM21" s="624" t="s">
        <v>13</v>
      </c>
      <c r="AN21" s="482">
        <f>523+(1*23)</f>
        <v>546</v>
      </c>
      <c r="AO21" s="474">
        <f>Z21-AN21</f>
        <v>-331</v>
      </c>
      <c r="AP21" s="483"/>
      <c r="AQ21" s="476" t="s">
        <v>51</v>
      </c>
      <c r="AR21" s="276">
        <f t="shared" si="23"/>
        <v>116.84</v>
      </c>
      <c r="AS21" s="261">
        <f t="shared" si="24"/>
        <v>215</v>
      </c>
      <c r="AT21" s="261">
        <f t="shared" si="25"/>
        <v>546</v>
      </c>
      <c r="AU21" s="804">
        <f t="shared" si="19"/>
        <v>122.70000000000005</v>
      </c>
      <c r="AV21" s="343">
        <f t="shared" si="20"/>
        <v>-34</v>
      </c>
      <c r="AW21" s="1505">
        <f t="shared" si="26"/>
        <v>0.20030581039755352</v>
      </c>
      <c r="BE21" s="1145">
        <f t="shared" si="27"/>
        <v>8</v>
      </c>
      <c r="BF21" s="1597"/>
    </row>
    <row r="22" spans="1:58">
      <c r="A22" s="596">
        <f t="shared" si="21"/>
        <v>9</v>
      </c>
      <c r="B22" s="907">
        <f t="shared" si="21"/>
        <v>9</v>
      </c>
      <c r="C22" s="476" t="s">
        <v>48</v>
      </c>
      <c r="D22" s="1500">
        <v>218</v>
      </c>
      <c r="E22" s="1499">
        <f>2*D22</f>
        <v>436</v>
      </c>
      <c r="F22" s="1499">
        <f>2*221</f>
        <v>442</v>
      </c>
      <c r="G22" s="1506">
        <f>1.15*F22</f>
        <v>508.29999999999995</v>
      </c>
      <c r="H22" s="1080">
        <f t="shared" si="22"/>
        <v>100.28</v>
      </c>
      <c r="I22" s="1081">
        <f>0.5*1.1*H22</f>
        <v>55.154000000000003</v>
      </c>
      <c r="J22" s="1346" t="s">
        <v>136</v>
      </c>
      <c r="K22" s="1347">
        <v>125</v>
      </c>
      <c r="L22" s="1347">
        <v>0</v>
      </c>
      <c r="M22" s="1347">
        <v>0</v>
      </c>
      <c r="N22" s="1347">
        <v>30</v>
      </c>
      <c r="O22" s="1347">
        <v>176</v>
      </c>
      <c r="P22" s="1347" t="s">
        <v>13</v>
      </c>
      <c r="Q22" s="1502">
        <f>SUM(J22:P22)</f>
        <v>331</v>
      </c>
      <c r="R22" s="754">
        <f>2*Q22</f>
        <v>662</v>
      </c>
      <c r="S22" s="498">
        <f>R22+(2*71)</f>
        <v>804</v>
      </c>
      <c r="T22" s="769">
        <v>14</v>
      </c>
      <c r="U22" s="1078">
        <v>0</v>
      </c>
      <c r="V22" s="639">
        <v>36.5</v>
      </c>
      <c r="W22" s="1078">
        <v>0</v>
      </c>
      <c r="X22" s="772">
        <f>SUM(T22:W22)</f>
        <v>50.5</v>
      </c>
      <c r="Y22" s="757">
        <f>2*X22</f>
        <v>101</v>
      </c>
      <c r="Z22" s="522">
        <f>Y22+(23)</f>
        <v>124</v>
      </c>
      <c r="AA22" s="734">
        <f>Z22-H22</f>
        <v>23.72</v>
      </c>
      <c r="AB22" s="1509">
        <f>Z22-I22</f>
        <v>68.846000000000004</v>
      </c>
      <c r="AC22" s="1510" t="s">
        <v>13</v>
      </c>
      <c r="AD22" s="756">
        <v>0</v>
      </c>
      <c r="AE22" s="770">
        <f>X22-U22+AD22</f>
        <v>50.5</v>
      </c>
      <c r="AF22" s="785">
        <f>2*AE22</f>
        <v>101</v>
      </c>
      <c r="AG22" s="502">
        <f>AF22+(23)</f>
        <v>124</v>
      </c>
      <c r="AH22" s="1512">
        <f>AG22-I22</f>
        <v>68.846000000000004</v>
      </c>
      <c r="AI22" s="1503" t="s">
        <v>795</v>
      </c>
      <c r="AJ22" s="491">
        <v>158</v>
      </c>
      <c r="AK22" s="491">
        <f>(2*AJ22)+(2*71)+(2*45)</f>
        <v>548</v>
      </c>
      <c r="AL22" s="494">
        <f>S22-AK22</f>
        <v>256</v>
      </c>
      <c r="AM22" s="624" t="s">
        <v>13</v>
      </c>
      <c r="AN22" s="482">
        <f>531+(1*23)</f>
        <v>554</v>
      </c>
      <c r="AO22" s="474">
        <f>Z22-AN22</f>
        <v>-430</v>
      </c>
      <c r="AP22" s="483"/>
      <c r="AQ22" s="476" t="s">
        <v>52</v>
      </c>
      <c r="AR22" s="276">
        <f t="shared" si="23"/>
        <v>100.28</v>
      </c>
      <c r="AS22" s="261">
        <f t="shared" si="24"/>
        <v>124</v>
      </c>
      <c r="AT22" s="261">
        <f t="shared" si="25"/>
        <v>554</v>
      </c>
      <c r="AU22" s="804">
        <f t="shared" si="19"/>
        <v>295.70000000000005</v>
      </c>
      <c r="AV22" s="343">
        <f t="shared" si="20"/>
        <v>256</v>
      </c>
      <c r="AW22" s="1505">
        <v>0</v>
      </c>
      <c r="BE22" s="1145">
        <f t="shared" si="27"/>
        <v>9</v>
      </c>
      <c r="BF22" s="1597"/>
    </row>
    <row r="23" spans="1:58" ht="262" customHeight="1">
      <c r="C23" s="461"/>
      <c r="D23" s="1817" t="s">
        <v>1101</v>
      </c>
      <c r="E23" s="1688"/>
      <c r="F23" s="1070" t="s">
        <v>1086</v>
      </c>
      <c r="G23" s="1077" t="s">
        <v>1087</v>
      </c>
      <c r="H23" s="1238" t="s">
        <v>193</v>
      </c>
      <c r="I23" s="996"/>
      <c r="J23" s="1346"/>
      <c r="K23" s="1004" t="s">
        <v>1102</v>
      </c>
      <c r="L23" s="1426" t="s">
        <v>501</v>
      </c>
      <c r="M23" s="1426" t="s">
        <v>504</v>
      </c>
      <c r="N23" s="1490" t="s">
        <v>502</v>
      </c>
      <c r="O23" s="1426" t="s">
        <v>1174</v>
      </c>
      <c r="P23" s="68"/>
      <c r="Q23" s="1079"/>
      <c r="S23" s="1491" t="s">
        <v>1052</v>
      </c>
      <c r="T23" s="974" t="s">
        <v>1103</v>
      </c>
      <c r="U23" s="1350" t="s">
        <v>213</v>
      </c>
      <c r="V23" s="1490" t="s">
        <v>1167</v>
      </c>
      <c r="W23" s="68"/>
      <c r="X23" s="1079"/>
      <c r="Z23" s="553" t="s">
        <v>1051</v>
      </c>
      <c r="AA23" s="1009"/>
      <c r="AB23" s="1493" t="s">
        <v>192</v>
      </c>
      <c r="AC23" s="1511" t="s">
        <v>69</v>
      </c>
      <c r="AF23" s="26"/>
      <c r="AG23" s="553" t="s">
        <v>1051</v>
      </c>
      <c r="AH23" s="162"/>
      <c r="AI23" s="26"/>
      <c r="AJ23" s="1371" t="s">
        <v>1145</v>
      </c>
      <c r="AK23" s="1490" t="s">
        <v>15</v>
      </c>
      <c r="AL23" s="47"/>
      <c r="AM23" s="47"/>
      <c r="AN23" s="1497" t="s">
        <v>1054</v>
      </c>
    </row>
    <row r="24" spans="1:58">
      <c r="C24" s="461"/>
      <c r="AU24" s="510" t="s">
        <v>105</v>
      </c>
      <c r="AV24" s="510" t="s">
        <v>105</v>
      </c>
      <c r="AW24" s="510" t="s">
        <v>105</v>
      </c>
    </row>
    <row r="25" spans="1:58">
      <c r="C25" s="461"/>
    </row>
    <row r="26" spans="1:58" ht="34" customHeight="1">
      <c r="B26" s="597" t="s">
        <v>98</v>
      </c>
      <c r="C26" s="504" t="s">
        <v>120</v>
      </c>
      <c r="D26" s="2029" t="s">
        <v>168</v>
      </c>
      <c r="E26" s="2029"/>
      <c r="F26" s="2029"/>
      <c r="G26" s="2029"/>
      <c r="H26" s="2029"/>
      <c r="I26" s="2030"/>
      <c r="J26" s="2032" t="s">
        <v>645</v>
      </c>
      <c r="K26" s="2033"/>
      <c r="L26" s="2034"/>
      <c r="M26" s="2034"/>
      <c r="N26" s="2034"/>
      <c r="O26" s="2034"/>
      <c r="P26" s="2035"/>
      <c r="Q26" s="2034"/>
      <c r="R26" s="2036" t="s">
        <v>882</v>
      </c>
      <c r="S26" s="2037"/>
      <c r="T26" s="1880" t="s">
        <v>647</v>
      </c>
      <c r="U26" s="1881"/>
      <c r="V26" s="1881"/>
      <c r="W26" s="1881"/>
      <c r="X26" s="1881"/>
      <c r="Y26" s="1811" t="s">
        <v>648</v>
      </c>
      <c r="Z26" s="1812"/>
      <c r="AA26" s="1276"/>
      <c r="AB26" s="1276"/>
      <c r="AC26" s="1784" t="s">
        <v>162</v>
      </c>
      <c r="AD26" s="1785"/>
      <c r="AE26" s="1785"/>
      <c r="AF26" s="1782" t="s">
        <v>883</v>
      </c>
      <c r="AG26" s="1783"/>
      <c r="AH26" s="1412"/>
      <c r="AI26" s="1823" t="s">
        <v>167</v>
      </c>
      <c r="AJ26" s="1906"/>
      <c r="AK26" s="1906"/>
      <c r="AL26" s="1906"/>
      <c r="AM26" s="1906"/>
      <c r="AN26" s="1907"/>
      <c r="AO26" s="244"/>
      <c r="AP26" s="210"/>
      <c r="AQ26" s="180"/>
      <c r="AR26" s="180"/>
      <c r="AS26" s="180"/>
      <c r="AT26" s="181"/>
      <c r="AU26" s="180"/>
    </row>
    <row r="27" spans="1:58">
      <c r="C27" s="505"/>
      <c r="D27" s="50">
        <v>1</v>
      </c>
      <c r="E27" s="50">
        <f t="shared" ref="E27:AL27" si="28">D27+1</f>
        <v>2</v>
      </c>
      <c r="F27" s="50">
        <f t="shared" si="28"/>
        <v>3</v>
      </c>
      <c r="G27" s="50">
        <f t="shared" si="28"/>
        <v>4</v>
      </c>
      <c r="H27" s="50">
        <f t="shared" si="28"/>
        <v>5</v>
      </c>
      <c r="I27" s="50">
        <f t="shared" si="28"/>
        <v>6</v>
      </c>
      <c r="J27" s="50">
        <f t="shared" si="28"/>
        <v>7</v>
      </c>
      <c r="K27" s="50">
        <f t="shared" si="28"/>
        <v>8</v>
      </c>
      <c r="L27" s="50">
        <f t="shared" si="28"/>
        <v>9</v>
      </c>
      <c r="M27" s="50">
        <f t="shared" si="28"/>
        <v>10</v>
      </c>
      <c r="N27" s="50">
        <f t="shared" si="28"/>
        <v>11</v>
      </c>
      <c r="O27" s="50">
        <f t="shared" si="28"/>
        <v>12</v>
      </c>
      <c r="P27" s="50">
        <f t="shared" si="28"/>
        <v>13</v>
      </c>
      <c r="Q27" s="50">
        <f t="shared" si="28"/>
        <v>14</v>
      </c>
      <c r="R27" s="1005">
        <f t="shared" si="28"/>
        <v>15</v>
      </c>
      <c r="S27" s="1007">
        <f t="shared" si="28"/>
        <v>16</v>
      </c>
      <c r="T27" s="50">
        <f t="shared" si="28"/>
        <v>17</v>
      </c>
      <c r="U27" s="50">
        <f t="shared" si="28"/>
        <v>18</v>
      </c>
      <c r="V27" s="50">
        <f t="shared" si="28"/>
        <v>19</v>
      </c>
      <c r="W27" s="137">
        <f t="shared" si="28"/>
        <v>20</v>
      </c>
      <c r="X27" s="50">
        <f t="shared" si="28"/>
        <v>21</v>
      </c>
      <c r="Y27" s="137">
        <f t="shared" ref="Y27" si="29">X27+1</f>
        <v>22</v>
      </c>
      <c r="Z27" s="137">
        <f t="shared" ref="Z27" si="30">Y27+1</f>
        <v>23</v>
      </c>
      <c r="AA27" s="109">
        <f t="shared" si="28"/>
        <v>24</v>
      </c>
      <c r="AB27" s="110">
        <f t="shared" si="28"/>
        <v>25</v>
      </c>
      <c r="AC27" s="109">
        <f t="shared" si="28"/>
        <v>26</v>
      </c>
      <c r="AD27" s="50">
        <f t="shared" si="28"/>
        <v>27</v>
      </c>
      <c r="AE27" s="50">
        <f t="shared" si="28"/>
        <v>28</v>
      </c>
      <c r="AF27" s="1005">
        <f t="shared" si="28"/>
        <v>29</v>
      </c>
      <c r="AG27" s="1007">
        <f t="shared" si="28"/>
        <v>30</v>
      </c>
      <c r="AH27" s="150">
        <f t="shared" si="28"/>
        <v>31</v>
      </c>
      <c r="AI27" s="50">
        <f>AH27+1</f>
        <v>32</v>
      </c>
      <c r="AJ27" s="50">
        <f>AI27+1</f>
        <v>33</v>
      </c>
      <c r="AK27" s="50">
        <f t="shared" si="28"/>
        <v>34</v>
      </c>
      <c r="AL27" s="50">
        <f t="shared" si="28"/>
        <v>35</v>
      </c>
      <c r="AM27" s="50">
        <f t="shared" ref="AM27" si="31">AL27+1</f>
        <v>36</v>
      </c>
      <c r="AN27" s="50">
        <f t="shared" ref="AN27" si="32">AM27+1</f>
        <v>37</v>
      </c>
      <c r="AO27" s="50">
        <f t="shared" ref="AO27" si="33">AN27+1</f>
        <v>38</v>
      </c>
      <c r="AP27" s="211"/>
      <c r="AR27" s="4"/>
      <c r="AS27" s="4"/>
      <c r="AT27" s="97"/>
      <c r="AU27" s="4"/>
    </row>
    <row r="28" spans="1:58" ht="124" customHeight="1">
      <c r="C28" s="1233" t="s">
        <v>1105</v>
      </c>
      <c r="D28" s="1234" t="s">
        <v>1107</v>
      </c>
      <c r="E28" s="1235" t="s">
        <v>469</v>
      </c>
      <c r="F28" s="1235" t="s">
        <v>246</v>
      </c>
      <c r="G28" s="1236" t="s">
        <v>234</v>
      </c>
      <c r="H28" s="805" t="s">
        <v>247</v>
      </c>
      <c r="I28" s="1002" t="s">
        <v>248</v>
      </c>
      <c r="J28" s="1240" t="s">
        <v>534</v>
      </c>
      <c r="K28" s="1488" t="s">
        <v>503</v>
      </c>
      <c r="L28" s="1240" t="s">
        <v>505</v>
      </c>
      <c r="M28" s="1488" t="s">
        <v>506</v>
      </c>
      <c r="N28" s="1488" t="s">
        <v>514</v>
      </c>
      <c r="O28" s="1240" t="s">
        <v>507</v>
      </c>
      <c r="P28" s="1488" t="s">
        <v>508</v>
      </c>
      <c r="Q28" s="1501" t="s">
        <v>492</v>
      </c>
      <c r="R28" s="771" t="s">
        <v>1091</v>
      </c>
      <c r="S28" s="400" t="s">
        <v>384</v>
      </c>
      <c r="T28" s="1010" t="s">
        <v>535</v>
      </c>
      <c r="U28" s="872" t="s">
        <v>470</v>
      </c>
      <c r="V28" s="872" t="s">
        <v>509</v>
      </c>
      <c r="W28" s="1010" t="s">
        <v>471</v>
      </c>
      <c r="X28" s="1020" t="s">
        <v>494</v>
      </c>
      <c r="Y28" s="521" t="s">
        <v>263</v>
      </c>
      <c r="Z28" s="599" t="s">
        <v>264</v>
      </c>
      <c r="AA28" s="1010" t="s">
        <v>265</v>
      </c>
      <c r="AB28" s="1010" t="s">
        <v>266</v>
      </c>
      <c r="AC28" s="1239" t="s">
        <v>472</v>
      </c>
      <c r="AD28" s="1010" t="s">
        <v>369</v>
      </c>
      <c r="AE28" s="1020" t="s">
        <v>473</v>
      </c>
      <c r="AF28" s="605" t="s">
        <v>350</v>
      </c>
      <c r="AG28" s="187" t="s">
        <v>1104</v>
      </c>
      <c r="AH28" s="1087" t="s">
        <v>271</v>
      </c>
      <c r="AI28" s="1240" t="s">
        <v>808</v>
      </c>
      <c r="AJ28" s="1264" t="s">
        <v>809</v>
      </c>
      <c r="AK28" s="1270" t="s">
        <v>14</v>
      </c>
      <c r="AL28" s="1235" t="s">
        <v>1</v>
      </c>
      <c r="AM28" s="1010" t="s">
        <v>810</v>
      </c>
      <c r="AN28" s="1002" t="s">
        <v>746</v>
      </c>
      <c r="AO28" s="239" t="s">
        <v>272</v>
      </c>
      <c r="AP28" s="209"/>
      <c r="AQ28" s="408" t="s">
        <v>569</v>
      </c>
      <c r="AR28" s="805" t="s">
        <v>357</v>
      </c>
      <c r="AS28" s="988" t="s">
        <v>273</v>
      </c>
      <c r="AT28" s="806" t="s">
        <v>567</v>
      </c>
      <c r="AU28" s="1008" t="s">
        <v>811</v>
      </c>
      <c r="AV28" s="1008" t="s">
        <v>745</v>
      </c>
      <c r="AW28" s="1364" t="s">
        <v>1099</v>
      </c>
      <c r="BE28" s="1149" t="s">
        <v>822</v>
      </c>
      <c r="BF28" s="1472"/>
    </row>
    <row r="29" spans="1:58">
      <c r="A29" s="596">
        <f>A22+1</f>
        <v>10</v>
      </c>
      <c r="B29" s="907">
        <f>B22+1</f>
        <v>10</v>
      </c>
      <c r="C29" s="476" t="s">
        <v>53</v>
      </c>
      <c r="D29" s="1513">
        <v>250</v>
      </c>
      <c r="E29" s="1514">
        <f>2*D29</f>
        <v>500</v>
      </c>
      <c r="F29" s="1514">
        <f>2*295</f>
        <v>590</v>
      </c>
      <c r="G29" s="1514">
        <f>1.15*F29</f>
        <v>678.5</v>
      </c>
      <c r="H29" s="1082">
        <f>0.23*E29</f>
        <v>115</v>
      </c>
      <c r="I29" s="1083">
        <f>0.5*(H29*1.1)</f>
        <v>63.250000000000007</v>
      </c>
      <c r="J29" s="1499">
        <v>160</v>
      </c>
      <c r="K29" s="1205">
        <v>15</v>
      </c>
      <c r="L29" s="1205">
        <v>200</v>
      </c>
      <c r="M29" s="1205">
        <v>15</v>
      </c>
      <c r="N29" s="1205">
        <v>66</v>
      </c>
      <c r="O29" s="1347">
        <v>0</v>
      </c>
      <c r="P29" s="1347">
        <v>0</v>
      </c>
      <c r="Q29" s="1205">
        <f>SUM(J29:P29)</f>
        <v>456</v>
      </c>
      <c r="R29" s="777">
        <f>2*Q29</f>
        <v>912</v>
      </c>
      <c r="S29" s="500">
        <f>R29+(2*71)</f>
        <v>1054</v>
      </c>
      <c r="T29" s="779">
        <v>34</v>
      </c>
      <c r="U29" s="779">
        <v>10</v>
      </c>
      <c r="V29" s="779">
        <v>59</v>
      </c>
      <c r="W29" s="779">
        <v>0</v>
      </c>
      <c r="X29" s="871">
        <f>SUM(T29:W29)</f>
        <v>103</v>
      </c>
      <c r="Y29" s="529">
        <f>2*X29</f>
        <v>206</v>
      </c>
      <c r="Z29" s="520">
        <f>Y29+(23)</f>
        <v>229</v>
      </c>
      <c r="AA29" s="871">
        <f>Z29-H29</f>
        <v>114</v>
      </c>
      <c r="AB29" s="871">
        <f>Z29-I29</f>
        <v>165.75</v>
      </c>
      <c r="AC29" s="478">
        <f>59+(199-48)</f>
        <v>210</v>
      </c>
      <c r="AD29" s="770">
        <f t="shared" ref="AD29:AD32" si="34">33.89+(AC29*0.2095)</f>
        <v>77.884999999999991</v>
      </c>
      <c r="AE29" s="772">
        <f>X29-V29+AD29</f>
        <v>121.88499999999999</v>
      </c>
      <c r="AF29" s="501">
        <f>2*AE29</f>
        <v>243.76999999999998</v>
      </c>
      <c r="AG29" s="501">
        <f>AF29+(23)</f>
        <v>266.77</v>
      </c>
      <c r="AH29" s="774">
        <f>AG29-I29</f>
        <v>203.51999999999998</v>
      </c>
      <c r="AI29" s="1107" t="s">
        <v>796</v>
      </c>
      <c r="AJ29" s="1499">
        <v>540</v>
      </c>
      <c r="AK29" s="1514">
        <f>(2*AJ29)+(2*71)+(2*45)</f>
        <v>1312</v>
      </c>
      <c r="AL29" s="1514">
        <f>S29-AK29</f>
        <v>-258</v>
      </c>
      <c r="AM29" s="624" t="s">
        <v>13</v>
      </c>
      <c r="AN29" s="482">
        <f>672+(1*23)</f>
        <v>695</v>
      </c>
      <c r="AO29" s="474">
        <f>Z29-AN29</f>
        <v>-466</v>
      </c>
      <c r="AP29" s="483"/>
      <c r="AQ29" s="9" t="s">
        <v>759</v>
      </c>
      <c r="AR29" s="276">
        <f>H29</f>
        <v>115</v>
      </c>
      <c r="AS29" s="261">
        <f>Z29</f>
        <v>229</v>
      </c>
      <c r="AT29" s="261">
        <f>AN29</f>
        <v>695</v>
      </c>
      <c r="AU29" s="804">
        <f t="shared" ref="AU29:AU32" si="35">S29-G29</f>
        <v>375.5</v>
      </c>
      <c r="AV29" s="343">
        <f t="shared" ref="AV29" si="36">S29-AK29</f>
        <v>-258</v>
      </c>
      <c r="AW29" s="1505">
        <f>(L29+M29)/S29</f>
        <v>0.20398481973434535</v>
      </c>
      <c r="BE29" s="1145">
        <f>B29</f>
        <v>10</v>
      </c>
      <c r="BF29" s="199"/>
    </row>
    <row r="30" spans="1:58">
      <c r="A30" s="596">
        <f t="shared" ref="A30:B32" si="37">A29+1</f>
        <v>11</v>
      </c>
      <c r="B30" s="907">
        <f t="shared" si="37"/>
        <v>11</v>
      </c>
      <c r="C30" s="476" t="s">
        <v>54</v>
      </c>
      <c r="D30" s="1513">
        <v>546</v>
      </c>
      <c r="E30" s="1514">
        <f>2*D30</f>
        <v>1092</v>
      </c>
      <c r="F30" s="1514">
        <f>2*488</f>
        <v>976</v>
      </c>
      <c r="G30" s="1514">
        <f>1.15*F30</f>
        <v>1122.3999999999999</v>
      </c>
      <c r="H30" s="1082">
        <f t="shared" ref="H30:H32" si="38">0.23*E30</f>
        <v>251.16000000000003</v>
      </c>
      <c r="I30" s="1083">
        <f>0.5*(H30*1.1)</f>
        <v>138.13800000000003</v>
      </c>
      <c r="J30" s="1499">
        <v>160</v>
      </c>
      <c r="K30" s="1205">
        <v>15</v>
      </c>
      <c r="L30" s="1205">
        <v>200</v>
      </c>
      <c r="M30" s="1347">
        <v>0</v>
      </c>
      <c r="N30" s="1205">
        <v>142</v>
      </c>
      <c r="O30" s="1347">
        <v>0</v>
      </c>
      <c r="P30" s="1347">
        <v>0</v>
      </c>
      <c r="Q30" s="1205">
        <f>SUM(J30:P30)</f>
        <v>517</v>
      </c>
      <c r="R30" s="777">
        <f>2*Q30</f>
        <v>1034</v>
      </c>
      <c r="S30" s="500">
        <f>R30+(2*71)</f>
        <v>1176</v>
      </c>
      <c r="T30" s="779">
        <v>34</v>
      </c>
      <c r="U30" s="779">
        <v>10</v>
      </c>
      <c r="V30" s="779">
        <v>93</v>
      </c>
      <c r="W30" s="779">
        <v>0</v>
      </c>
      <c r="X30" s="871">
        <f>SUM(T30:W30)</f>
        <v>137</v>
      </c>
      <c r="Y30" s="529">
        <f>2*X30</f>
        <v>274</v>
      </c>
      <c r="Z30" s="520">
        <f>Y30+(23)</f>
        <v>297</v>
      </c>
      <c r="AA30" s="871">
        <f>Z30-H30</f>
        <v>45.839999999999975</v>
      </c>
      <c r="AB30" s="871">
        <f>Z30-I30</f>
        <v>158.86199999999997</v>
      </c>
      <c r="AC30" s="478">
        <f>59+(466-199)</f>
        <v>326</v>
      </c>
      <c r="AD30" s="770">
        <f t="shared" si="34"/>
        <v>102.187</v>
      </c>
      <c r="AE30" s="772">
        <f>X30-V30+AD30</f>
        <v>146.18700000000001</v>
      </c>
      <c r="AF30" s="501">
        <f>2*AE30</f>
        <v>292.37400000000002</v>
      </c>
      <c r="AG30" s="501">
        <f>AF30+(23)</f>
        <v>315.37400000000002</v>
      </c>
      <c r="AH30" s="774">
        <f>AG30-I30</f>
        <v>177.23599999999999</v>
      </c>
      <c r="AI30" s="1107" t="s">
        <v>797</v>
      </c>
      <c r="AJ30" s="1499">
        <v>214</v>
      </c>
      <c r="AK30" s="1499">
        <f>(2*AJ30)+(2*71)+(2*45)</f>
        <v>660</v>
      </c>
      <c r="AL30" s="1514">
        <f>S30-AK30</f>
        <v>516</v>
      </c>
      <c r="AM30" s="624" t="s">
        <v>13</v>
      </c>
      <c r="AN30" s="482">
        <f>274+(1*23)</f>
        <v>297</v>
      </c>
      <c r="AO30" s="474">
        <f>Z30-AN30</f>
        <v>0</v>
      </c>
      <c r="AP30" s="483"/>
      <c r="AQ30" s="9" t="s">
        <v>826</v>
      </c>
      <c r="AR30" s="276">
        <f t="shared" ref="AR30:AR32" si="39">H30</f>
        <v>251.16000000000003</v>
      </c>
      <c r="AS30" s="261">
        <f t="shared" ref="AS30:AS32" si="40">Z30</f>
        <v>297</v>
      </c>
      <c r="AT30" s="261">
        <f t="shared" ref="AT30:AT32" si="41">AN30</f>
        <v>297</v>
      </c>
      <c r="AU30" s="804">
        <f t="shared" si="35"/>
        <v>53.600000000000136</v>
      </c>
      <c r="AV30" s="343">
        <f t="shared" ref="AV30:AV32" si="42">S30-AK30</f>
        <v>516</v>
      </c>
      <c r="AW30" s="1505">
        <f t="shared" ref="AW30:AW32" si="43">(L30+M30)/S30</f>
        <v>0.17006802721088435</v>
      </c>
      <c r="BE30" s="1145">
        <f t="shared" ref="BE30:BE32" si="44">B30</f>
        <v>11</v>
      </c>
      <c r="BF30" s="199"/>
    </row>
    <row r="31" spans="1:58">
      <c r="A31" s="596">
        <f t="shared" si="37"/>
        <v>12</v>
      </c>
      <c r="B31" s="907">
        <f t="shared" si="37"/>
        <v>12</v>
      </c>
      <c r="C31" s="476" t="s">
        <v>55</v>
      </c>
      <c r="D31" s="1513">
        <v>332</v>
      </c>
      <c r="E31" s="1514">
        <f>2*D31</f>
        <v>664</v>
      </c>
      <c r="F31" s="1514">
        <f>2*316</f>
        <v>632</v>
      </c>
      <c r="G31" s="1514">
        <f>1.15*F31</f>
        <v>726.8</v>
      </c>
      <c r="H31" s="1082">
        <f t="shared" si="38"/>
        <v>152.72</v>
      </c>
      <c r="I31" s="1083">
        <f>0.5*(H31*1.1)</f>
        <v>83.996000000000009</v>
      </c>
      <c r="J31" s="1499">
        <v>160</v>
      </c>
      <c r="K31" s="1205">
        <v>15</v>
      </c>
      <c r="L31" s="1205">
        <v>200</v>
      </c>
      <c r="M31" s="1347">
        <v>0</v>
      </c>
      <c r="N31" s="1205">
        <v>25</v>
      </c>
      <c r="O31" s="1347">
        <v>0</v>
      </c>
      <c r="P31" s="1347">
        <v>0</v>
      </c>
      <c r="Q31" s="1205">
        <f>SUM(J31:P31)</f>
        <v>400</v>
      </c>
      <c r="R31" s="777">
        <f>2*Q31</f>
        <v>800</v>
      </c>
      <c r="S31" s="500">
        <f>R31+(2*71)</f>
        <v>942</v>
      </c>
      <c r="T31" s="779">
        <v>34</v>
      </c>
      <c r="U31" s="779">
        <v>10</v>
      </c>
      <c r="V31" s="779">
        <v>47</v>
      </c>
      <c r="W31" s="779">
        <v>0</v>
      </c>
      <c r="X31" s="871">
        <f>SUM(T31:W31)</f>
        <v>91</v>
      </c>
      <c r="Y31" s="529">
        <f>2*X31</f>
        <v>182</v>
      </c>
      <c r="Z31" s="520">
        <f>Y31+(23)</f>
        <v>205</v>
      </c>
      <c r="AA31" s="871">
        <f>Z31-H31</f>
        <v>52.28</v>
      </c>
      <c r="AB31" s="871">
        <f>Z31-I31</f>
        <v>121.00399999999999</v>
      </c>
      <c r="AC31" s="478">
        <v>59</v>
      </c>
      <c r="AD31" s="770">
        <f t="shared" si="34"/>
        <v>46.250500000000002</v>
      </c>
      <c r="AE31" s="772">
        <f>X31-V31+AD31</f>
        <v>90.250500000000002</v>
      </c>
      <c r="AF31" s="501">
        <f>2*AE31</f>
        <v>180.501</v>
      </c>
      <c r="AG31" s="501">
        <f>AF31+(23)</f>
        <v>203.501</v>
      </c>
      <c r="AH31" s="774">
        <f>AG31-I31</f>
        <v>119.505</v>
      </c>
      <c r="AI31" s="1107" t="s">
        <v>798</v>
      </c>
      <c r="AJ31" s="1499">
        <v>219</v>
      </c>
      <c r="AK31" s="1499">
        <f>(2*AJ31)+(2*71)+(2*45)</f>
        <v>670</v>
      </c>
      <c r="AL31" s="1514">
        <f>S31-AK31</f>
        <v>272</v>
      </c>
      <c r="AM31" s="624" t="s">
        <v>13</v>
      </c>
      <c r="AN31" s="482">
        <f>562+(1*23)</f>
        <v>585</v>
      </c>
      <c r="AO31" s="474">
        <f>Z31-AN31</f>
        <v>-380</v>
      </c>
      <c r="AP31" s="483"/>
      <c r="AQ31" s="9" t="s">
        <v>760</v>
      </c>
      <c r="AR31" s="276">
        <f t="shared" si="39"/>
        <v>152.72</v>
      </c>
      <c r="AS31" s="261">
        <f t="shared" si="40"/>
        <v>205</v>
      </c>
      <c r="AT31" s="261">
        <f t="shared" si="41"/>
        <v>585</v>
      </c>
      <c r="AU31" s="804">
        <f t="shared" si="35"/>
        <v>215.20000000000005</v>
      </c>
      <c r="AV31" s="343">
        <f t="shared" si="42"/>
        <v>272</v>
      </c>
      <c r="AW31" s="1505">
        <f t="shared" si="43"/>
        <v>0.21231422505307856</v>
      </c>
      <c r="BE31" s="1145">
        <f t="shared" si="44"/>
        <v>12</v>
      </c>
      <c r="BF31" s="199"/>
    </row>
    <row r="32" spans="1:58">
      <c r="A32" s="596">
        <f t="shared" si="37"/>
        <v>13</v>
      </c>
      <c r="B32" s="907">
        <f t="shared" si="37"/>
        <v>13</v>
      </c>
      <c r="C32" s="476" t="s">
        <v>57</v>
      </c>
      <c r="D32" s="1513">
        <v>664</v>
      </c>
      <c r="E32" s="1514">
        <v>1414</v>
      </c>
      <c r="F32" s="1514">
        <f>2*589</f>
        <v>1178</v>
      </c>
      <c r="G32" s="1514">
        <f>1.15*F32</f>
        <v>1354.6999999999998</v>
      </c>
      <c r="H32" s="1082">
        <f t="shared" si="38"/>
        <v>325.22000000000003</v>
      </c>
      <c r="I32" s="1083">
        <f>0.5*(H32*1.1)</f>
        <v>178.87100000000004</v>
      </c>
      <c r="J32" s="1499">
        <v>160</v>
      </c>
      <c r="K32" s="1205">
        <v>15</v>
      </c>
      <c r="L32" s="1205">
        <v>200</v>
      </c>
      <c r="M32" s="1347">
        <v>0</v>
      </c>
      <c r="N32" s="1205">
        <v>142</v>
      </c>
      <c r="O32" s="1347">
        <v>30</v>
      </c>
      <c r="P32" s="1205">
        <v>176</v>
      </c>
      <c r="Q32" s="1205">
        <f>SUM(J32:P32)</f>
        <v>723</v>
      </c>
      <c r="R32" s="777">
        <f>2*Q32</f>
        <v>1446</v>
      </c>
      <c r="S32" s="500">
        <f>R32+(2*71)</f>
        <v>1588</v>
      </c>
      <c r="T32" s="779">
        <v>34</v>
      </c>
      <c r="U32" s="779">
        <v>10</v>
      </c>
      <c r="V32" s="779">
        <v>93</v>
      </c>
      <c r="W32" s="779">
        <v>36.5</v>
      </c>
      <c r="X32" s="871">
        <f>SUM(T32:W32)</f>
        <v>173.5</v>
      </c>
      <c r="Y32" s="529">
        <f>2*X32</f>
        <v>347</v>
      </c>
      <c r="Z32" s="520">
        <f>Y32+(23)</f>
        <v>370</v>
      </c>
      <c r="AA32" s="871">
        <f>Z32-H32</f>
        <v>44.779999999999973</v>
      </c>
      <c r="AB32" s="871">
        <f>Z32-I32</f>
        <v>191.12899999999996</v>
      </c>
      <c r="AC32" s="478">
        <f>59+(466-199)</f>
        <v>326</v>
      </c>
      <c r="AD32" s="770">
        <f t="shared" si="34"/>
        <v>102.187</v>
      </c>
      <c r="AE32" s="772">
        <f>X32-V32+AD32</f>
        <v>182.68700000000001</v>
      </c>
      <c r="AF32" s="501">
        <f>2*AE32</f>
        <v>365.37400000000002</v>
      </c>
      <c r="AG32" s="501">
        <f>AF32+(23)</f>
        <v>388.37400000000002</v>
      </c>
      <c r="AH32" s="774">
        <f>AG32-I32</f>
        <v>209.50299999999999</v>
      </c>
      <c r="AI32" s="1107" t="s">
        <v>799</v>
      </c>
      <c r="AJ32" s="1499">
        <v>209</v>
      </c>
      <c r="AK32" s="1499">
        <f>(2*AJ32)+(2*71)+(2*45)</f>
        <v>650</v>
      </c>
      <c r="AL32" s="1514">
        <f>S32-AK32</f>
        <v>938</v>
      </c>
      <c r="AM32" s="624" t="s">
        <v>13</v>
      </c>
      <c r="AN32" s="482">
        <f>455+(1*23)</f>
        <v>478</v>
      </c>
      <c r="AO32" s="474">
        <f>Z32-AN32</f>
        <v>-108</v>
      </c>
      <c r="AP32" s="483"/>
      <c r="AQ32" s="476" t="s">
        <v>56</v>
      </c>
      <c r="AR32" s="276">
        <f t="shared" si="39"/>
        <v>325.22000000000003</v>
      </c>
      <c r="AS32" s="261">
        <f t="shared" si="40"/>
        <v>370</v>
      </c>
      <c r="AT32" s="261">
        <f t="shared" si="41"/>
        <v>478</v>
      </c>
      <c r="AU32" s="804">
        <f t="shared" si="35"/>
        <v>233.30000000000018</v>
      </c>
      <c r="AV32" s="343">
        <f t="shared" si="42"/>
        <v>938</v>
      </c>
      <c r="AW32" s="1505">
        <f t="shared" si="43"/>
        <v>0.12594458438287154</v>
      </c>
      <c r="BE32" s="1145">
        <f t="shared" si="44"/>
        <v>13</v>
      </c>
      <c r="BF32" s="199"/>
    </row>
    <row r="33" spans="1:59" ht="268" customHeight="1">
      <c r="D33" s="1817" t="s">
        <v>1106</v>
      </c>
      <c r="E33" s="1688"/>
      <c r="F33" s="1070" t="s">
        <v>1086</v>
      </c>
      <c r="G33" s="1077" t="s">
        <v>1087</v>
      </c>
      <c r="H33" s="1238" t="s">
        <v>193</v>
      </c>
      <c r="I33" s="996"/>
      <c r="J33" s="767" t="s">
        <v>1108</v>
      </c>
      <c r="K33" s="1426" t="s">
        <v>501</v>
      </c>
      <c r="L33" s="1426" t="s">
        <v>1116</v>
      </c>
      <c r="M33" s="1426" t="s">
        <v>501</v>
      </c>
      <c r="N33" s="1426" t="s">
        <v>504</v>
      </c>
      <c r="O33" s="1494" t="s">
        <v>1109</v>
      </c>
      <c r="P33" s="1496" t="s">
        <v>1172</v>
      </c>
      <c r="Q33" s="490"/>
      <c r="R33" s="479"/>
      <c r="S33" s="1491" t="s">
        <v>1052</v>
      </c>
      <c r="T33" s="1070" t="s">
        <v>1110</v>
      </c>
      <c r="U33" s="171" t="s">
        <v>1111</v>
      </c>
      <c r="V33" s="1350" t="s">
        <v>516</v>
      </c>
      <c r="W33" s="399" t="s">
        <v>1173</v>
      </c>
      <c r="X33" s="490"/>
      <c r="Y33" s="479"/>
      <c r="Z33" s="553" t="s">
        <v>1051</v>
      </c>
      <c r="AA33" s="174"/>
      <c r="AB33" s="1493" t="s">
        <v>192</v>
      </c>
      <c r="AC33" s="1336" t="s">
        <v>1112</v>
      </c>
      <c r="AD33" s="492"/>
      <c r="AE33" s="480"/>
      <c r="AF33" s="472"/>
      <c r="AG33" s="553" t="s">
        <v>1051</v>
      </c>
      <c r="AH33" s="496"/>
      <c r="AI33" s="492"/>
      <c r="AJ33" s="1371" t="s">
        <v>1145</v>
      </c>
      <c r="AK33" s="1490" t="s">
        <v>15</v>
      </c>
      <c r="AL33" s="47"/>
      <c r="AM33" s="47"/>
      <c r="AN33" s="1497" t="s">
        <v>1054</v>
      </c>
      <c r="AO33" s="472"/>
      <c r="AP33" s="483"/>
      <c r="AQ33" s="472"/>
      <c r="AR33" s="472"/>
      <c r="AS33" s="472"/>
      <c r="AT33" s="472"/>
      <c r="AU33" s="472"/>
    </row>
    <row r="34" spans="1:59">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2"/>
      <c r="AM34" s="472"/>
      <c r="AN34" s="472"/>
      <c r="AO34" s="472"/>
      <c r="AP34" s="483"/>
      <c r="AQ34" s="472"/>
      <c r="AR34" s="472"/>
      <c r="AS34" s="472"/>
      <c r="AT34" s="472"/>
      <c r="AU34" s="473" t="s">
        <v>105</v>
      </c>
      <c r="AV34" s="510" t="s">
        <v>105</v>
      </c>
    </row>
    <row r="35" spans="1:59">
      <c r="AK35" s="14"/>
    </row>
    <row r="36" spans="1:59" ht="30" customHeight="1">
      <c r="B36" s="904" t="s">
        <v>99</v>
      </c>
      <c r="C36" s="1217" t="s">
        <v>120</v>
      </c>
      <c r="D36" s="1933" t="s">
        <v>168</v>
      </c>
      <c r="E36" s="1933"/>
      <c r="F36" s="1933"/>
      <c r="G36" s="1933"/>
      <c r="H36" s="1933"/>
      <c r="I36" s="1770"/>
      <c r="J36" s="1788" t="s">
        <v>645</v>
      </c>
      <c r="K36" s="1789"/>
      <c r="L36" s="1790"/>
      <c r="M36" s="1790"/>
      <c r="N36" s="1790"/>
      <c r="O36" s="1790"/>
      <c r="P36" s="1791"/>
      <c r="Q36" s="1790"/>
      <c r="R36" s="1684" t="s">
        <v>882</v>
      </c>
      <c r="S36" s="1779"/>
      <c r="T36" s="1880" t="s">
        <v>647</v>
      </c>
      <c r="U36" s="1881"/>
      <c r="V36" s="1881"/>
      <c r="W36" s="1881"/>
      <c r="X36" s="1881"/>
      <c r="Y36" s="1811" t="s">
        <v>648</v>
      </c>
      <c r="Z36" s="1812"/>
      <c r="AA36" s="1276"/>
      <c r="AB36" s="1276"/>
      <c r="AC36" s="1784" t="s">
        <v>162</v>
      </c>
      <c r="AD36" s="1785"/>
      <c r="AE36" s="1785"/>
      <c r="AF36" s="1782" t="s">
        <v>883</v>
      </c>
      <c r="AG36" s="1783"/>
      <c r="AH36" s="1457"/>
      <c r="AI36" s="1823" t="s">
        <v>167</v>
      </c>
      <c r="AJ36" s="1824"/>
      <c r="AK36" s="1824"/>
      <c r="AL36" s="1824"/>
      <c r="AM36" s="1824"/>
      <c r="AN36" s="2011"/>
      <c r="AO36" s="1275"/>
      <c r="AP36" s="485"/>
      <c r="AQ36" s="810"/>
      <c r="AR36" s="810"/>
      <c r="AS36" s="810"/>
      <c r="AT36" s="811"/>
      <c r="AU36" s="810"/>
      <c r="AV36" s="14"/>
      <c r="AW36" s="14"/>
      <c r="AX36" s="14"/>
      <c r="AY36" s="14"/>
      <c r="AZ36" s="14"/>
      <c r="BA36" s="14"/>
      <c r="BB36" s="14"/>
    </row>
    <row r="37" spans="1:59">
      <c r="C37" s="505"/>
      <c r="D37" s="466">
        <v>1</v>
      </c>
      <c r="E37" s="466">
        <v>2</v>
      </c>
      <c r="F37" s="466">
        <v>3</v>
      </c>
      <c r="G37" s="466">
        <v>4</v>
      </c>
      <c r="H37" s="466">
        <v>5</v>
      </c>
      <c r="I37" s="466">
        <v>6</v>
      </c>
      <c r="J37" s="466">
        <v>7</v>
      </c>
      <c r="K37" s="466">
        <v>8</v>
      </c>
      <c r="L37" s="466">
        <v>9</v>
      </c>
      <c r="M37" s="466">
        <v>10</v>
      </c>
      <c r="N37" s="466">
        <v>11</v>
      </c>
      <c r="O37" s="466">
        <v>12</v>
      </c>
      <c r="P37" s="466">
        <v>13</v>
      </c>
      <c r="Q37" s="466">
        <v>14</v>
      </c>
      <c r="R37" s="1005">
        <f t="shared" ref="R37" si="45">Q37+1</f>
        <v>15</v>
      </c>
      <c r="S37" s="1007">
        <f t="shared" ref="S37" si="46">R37+1</f>
        <v>16</v>
      </c>
      <c r="T37" s="466">
        <v>17</v>
      </c>
      <c r="U37" s="466">
        <v>18</v>
      </c>
      <c r="V37" s="466">
        <v>19</v>
      </c>
      <c r="W37" s="466">
        <v>20</v>
      </c>
      <c r="X37" s="466">
        <v>21</v>
      </c>
      <c r="Y37" s="137">
        <f t="shared" ref="Y37" si="47">X37+1</f>
        <v>22</v>
      </c>
      <c r="Z37" s="137">
        <f t="shared" ref="Z37" si="48">Y37+1</f>
        <v>23</v>
      </c>
      <c r="AA37" s="466">
        <v>24</v>
      </c>
      <c r="AB37" s="467">
        <v>25</v>
      </c>
      <c r="AC37" s="466">
        <v>26</v>
      </c>
      <c r="AD37" s="466">
        <v>27</v>
      </c>
      <c r="AE37" s="466">
        <v>28</v>
      </c>
      <c r="AF37" s="1084">
        <v>29</v>
      </c>
      <c r="AG37" s="1085">
        <v>30</v>
      </c>
      <c r="AH37" s="467">
        <v>31</v>
      </c>
      <c r="AI37" s="50">
        <f t="shared" ref="AI37:AO37" si="49">AH37+1</f>
        <v>32</v>
      </c>
      <c r="AJ37" s="50">
        <f t="shared" si="49"/>
        <v>33</v>
      </c>
      <c r="AK37" s="50">
        <f t="shared" si="49"/>
        <v>34</v>
      </c>
      <c r="AL37" s="50">
        <f t="shared" si="49"/>
        <v>35</v>
      </c>
      <c r="AM37" s="1076">
        <f t="shared" si="49"/>
        <v>36</v>
      </c>
      <c r="AN37" s="1076">
        <f t="shared" si="49"/>
        <v>37</v>
      </c>
      <c r="AO37" s="1076">
        <f t="shared" si="49"/>
        <v>38</v>
      </c>
      <c r="AP37" s="486"/>
      <c r="AQ37" s="459"/>
      <c r="AR37" s="466"/>
      <c r="AS37" s="466"/>
      <c r="AT37" s="468"/>
      <c r="AU37" s="466"/>
    </row>
    <row r="38" spans="1:59" ht="124" customHeight="1">
      <c r="C38" s="566" t="s">
        <v>1113</v>
      </c>
      <c r="D38" s="1234" t="s">
        <v>474</v>
      </c>
      <c r="E38" s="1236" t="s">
        <v>475</v>
      </c>
      <c r="F38" s="1236" t="s">
        <v>246</v>
      </c>
      <c r="G38" s="1236" t="s">
        <v>234</v>
      </c>
      <c r="H38" s="805" t="s">
        <v>247</v>
      </c>
      <c r="I38" s="1002" t="s">
        <v>248</v>
      </c>
      <c r="J38" s="1240" t="s">
        <v>510</v>
      </c>
      <c r="K38" s="1488" t="s">
        <v>1118</v>
      </c>
      <c r="L38" s="1488" t="s">
        <v>511</v>
      </c>
      <c r="M38" s="1488" t="s">
        <v>506</v>
      </c>
      <c r="N38" s="1240" t="s">
        <v>513</v>
      </c>
      <c r="O38" s="1240" t="s">
        <v>512</v>
      </c>
      <c r="P38" s="1240" t="s">
        <v>1117</v>
      </c>
      <c r="Q38" s="1501" t="s">
        <v>492</v>
      </c>
      <c r="R38" s="213" t="s">
        <v>455</v>
      </c>
      <c r="S38" s="400" t="s">
        <v>456</v>
      </c>
      <c r="T38" s="1010" t="s">
        <v>515</v>
      </c>
      <c r="U38" s="872" t="s">
        <v>476</v>
      </c>
      <c r="V38" s="872" t="s">
        <v>517</v>
      </c>
      <c r="W38" s="872" t="s">
        <v>518</v>
      </c>
      <c r="X38" s="1020" t="s">
        <v>494</v>
      </c>
      <c r="Y38" s="521" t="s">
        <v>995</v>
      </c>
      <c r="Z38" s="599" t="s">
        <v>996</v>
      </c>
      <c r="AA38" s="1010" t="s">
        <v>265</v>
      </c>
      <c r="AB38" s="1010" t="s">
        <v>266</v>
      </c>
      <c r="AC38" s="1234" t="s">
        <v>477</v>
      </c>
      <c r="AD38" s="1045" t="s">
        <v>369</v>
      </c>
      <c r="AE38" s="1088" t="s">
        <v>478</v>
      </c>
      <c r="AF38" s="605" t="s">
        <v>350</v>
      </c>
      <c r="AG38" s="187" t="s">
        <v>1104</v>
      </c>
      <c r="AH38" s="1087" t="s">
        <v>271</v>
      </c>
      <c r="AI38" s="1240" t="s">
        <v>808</v>
      </c>
      <c r="AJ38" s="1264" t="s">
        <v>809</v>
      </c>
      <c r="AK38" s="1364" t="s">
        <v>14</v>
      </c>
      <c r="AL38" s="1236" t="s">
        <v>1</v>
      </c>
      <c r="AM38" s="1010" t="s">
        <v>810</v>
      </c>
      <c r="AN38" s="1002" t="s">
        <v>746</v>
      </c>
      <c r="AO38" s="469" t="s">
        <v>272</v>
      </c>
      <c r="AP38" s="487"/>
      <c r="AQ38" s="408" t="s">
        <v>571</v>
      </c>
      <c r="AR38" s="805" t="s">
        <v>357</v>
      </c>
      <c r="AS38" s="988" t="s">
        <v>273</v>
      </c>
      <c r="AT38" s="806" t="s">
        <v>567</v>
      </c>
      <c r="AU38" s="1008" t="s">
        <v>811</v>
      </c>
      <c r="AV38" s="1008" t="s">
        <v>745</v>
      </c>
      <c r="AW38" s="1364" t="s">
        <v>1099</v>
      </c>
      <c r="BE38" s="1149" t="s">
        <v>822</v>
      </c>
      <c r="BF38" s="1472"/>
    </row>
    <row r="39" spans="1:59" s="472" customFormat="1" ht="16" customHeight="1">
      <c r="A39" s="596">
        <f>A32+1</f>
        <v>14</v>
      </c>
      <c r="B39" s="907">
        <f>B32+1</f>
        <v>14</v>
      </c>
      <c r="C39" s="476" t="s">
        <v>58</v>
      </c>
      <c r="D39" s="1500">
        <v>221</v>
      </c>
      <c r="E39" s="1499">
        <f>2*D39</f>
        <v>442</v>
      </c>
      <c r="F39" s="1499">
        <f>2*224</f>
        <v>448</v>
      </c>
      <c r="G39" s="1514">
        <f>1.15*F39</f>
        <v>515.19999999999993</v>
      </c>
      <c r="H39" s="1082">
        <f>0.23*E39</f>
        <v>101.66000000000001</v>
      </c>
      <c r="I39" s="1083">
        <f>0.5*(H39*1.1)</f>
        <v>55.913000000000011</v>
      </c>
      <c r="J39" s="1205">
        <v>155</v>
      </c>
      <c r="K39" s="1205">
        <v>15</v>
      </c>
      <c r="L39" s="1205">
        <v>200</v>
      </c>
      <c r="M39" s="1205">
        <v>15</v>
      </c>
      <c r="N39" s="1205">
        <v>66</v>
      </c>
      <c r="O39" s="1205">
        <v>0</v>
      </c>
      <c r="P39" s="1205">
        <v>0</v>
      </c>
      <c r="Q39" s="1205">
        <f>SUM(J39:P39)</f>
        <v>451</v>
      </c>
      <c r="R39" s="776">
        <f>2*Q39</f>
        <v>902</v>
      </c>
      <c r="S39" s="500">
        <f t="shared" ref="S39:S42" si="50">R39+(2*71)</f>
        <v>1044</v>
      </c>
      <c r="T39" s="779">
        <v>30</v>
      </c>
      <c r="U39" s="779">
        <v>10</v>
      </c>
      <c r="V39" s="779">
        <v>59</v>
      </c>
      <c r="W39" s="779">
        <v>0</v>
      </c>
      <c r="X39" s="779">
        <f>SUM(T39:W39)</f>
        <v>99</v>
      </c>
      <c r="Y39" s="784">
        <f>2*X39</f>
        <v>198</v>
      </c>
      <c r="Z39" s="775">
        <f>Y39+(23)</f>
        <v>221</v>
      </c>
      <c r="AA39" s="871">
        <f>Z39-H39</f>
        <v>119.33999999999999</v>
      </c>
      <c r="AB39" s="871">
        <f>Z39-I39</f>
        <v>165.08699999999999</v>
      </c>
      <c r="AC39" s="1500">
        <f>59+(199-48)</f>
        <v>210</v>
      </c>
      <c r="AD39" s="770">
        <f t="shared" ref="AD39:AD42" si="51">33.89+(AC39*0.2095)</f>
        <v>77.884999999999991</v>
      </c>
      <c r="AE39" s="772">
        <f>X39-V39+AD39</f>
        <v>117.88499999999999</v>
      </c>
      <c r="AF39" s="501">
        <f>2*AE39</f>
        <v>235.76999999999998</v>
      </c>
      <c r="AG39" s="501">
        <f>AF39+(23)</f>
        <v>258.77</v>
      </c>
      <c r="AH39" s="774">
        <f>AG39-I39</f>
        <v>202.85699999999997</v>
      </c>
      <c r="AI39" s="1107" t="s">
        <v>800</v>
      </c>
      <c r="AJ39" s="472">
        <v>58</v>
      </c>
      <c r="AK39" s="475">
        <f>(2*AJ39)+(2*71)+(2*45)</f>
        <v>348</v>
      </c>
      <c r="AL39" s="477">
        <f>S39-AK39</f>
        <v>696</v>
      </c>
      <c r="AM39" s="624">
        <v>31</v>
      </c>
      <c r="AN39" s="482">
        <f>213+(1*23)+AM39</f>
        <v>267</v>
      </c>
      <c r="AO39" s="474">
        <f>Z39-AN39</f>
        <v>-46</v>
      </c>
      <c r="AP39" s="483"/>
      <c r="AQ39" s="476" t="s">
        <v>60</v>
      </c>
      <c r="AR39" s="276">
        <f>H39</f>
        <v>101.66000000000001</v>
      </c>
      <c r="AS39" s="261">
        <f>Z39</f>
        <v>221</v>
      </c>
      <c r="AT39" s="261">
        <f>AN39</f>
        <v>267</v>
      </c>
      <c r="AU39" s="804">
        <f t="shared" ref="AU39:AU42" si="52">S39-G39</f>
        <v>528.80000000000007</v>
      </c>
      <c r="AV39" s="343">
        <f t="shared" ref="AV39" si="53">S39-AK39</f>
        <v>696</v>
      </c>
      <c r="AW39" s="1505">
        <f>(L39+M39)/S39</f>
        <v>0.20593869731800765</v>
      </c>
      <c r="BE39" s="1161">
        <f>B39</f>
        <v>14</v>
      </c>
      <c r="BF39" s="1525"/>
      <c r="BG39" s="773"/>
    </row>
    <row r="40" spans="1:59" s="472" customFormat="1" ht="16" customHeight="1">
      <c r="A40" s="596">
        <f t="shared" ref="A40:B42" si="54">A39+1</f>
        <v>15</v>
      </c>
      <c r="B40" s="907">
        <f t="shared" si="54"/>
        <v>15</v>
      </c>
      <c r="C40" s="67" t="s">
        <v>67</v>
      </c>
      <c r="D40" s="1500">
        <v>443</v>
      </c>
      <c r="E40" s="1499">
        <f>2*D40</f>
        <v>886</v>
      </c>
      <c r="F40" s="1499">
        <f>2*457</f>
        <v>914</v>
      </c>
      <c r="G40" s="1514">
        <f>1.15*F40</f>
        <v>1051.0999999999999</v>
      </c>
      <c r="H40" s="1082">
        <f t="shared" ref="H40:H42" si="55">0.23*E40</f>
        <v>203.78</v>
      </c>
      <c r="I40" s="1083">
        <f>0.5*(H40*1.1)</f>
        <v>112.07900000000001</v>
      </c>
      <c r="J40" s="1205">
        <v>155</v>
      </c>
      <c r="K40" s="1205">
        <v>15</v>
      </c>
      <c r="L40" s="1205">
        <v>200</v>
      </c>
      <c r="M40" s="1205">
        <v>15</v>
      </c>
      <c r="N40" s="1205">
        <v>0</v>
      </c>
      <c r="O40" s="1205">
        <v>142</v>
      </c>
      <c r="P40" s="1205">
        <v>0</v>
      </c>
      <c r="Q40" s="1205">
        <f t="shared" ref="Q40:Q42" si="56">SUM(J40:P40)</f>
        <v>527</v>
      </c>
      <c r="R40" s="776">
        <f>2*Q40</f>
        <v>1054</v>
      </c>
      <c r="S40" s="500">
        <f t="shared" si="50"/>
        <v>1196</v>
      </c>
      <c r="T40" s="779">
        <v>30</v>
      </c>
      <c r="U40" s="779">
        <v>10</v>
      </c>
      <c r="V40" s="779">
        <v>93</v>
      </c>
      <c r="W40" s="779">
        <v>0</v>
      </c>
      <c r="X40" s="779">
        <f>SUM(T40:W40)</f>
        <v>133</v>
      </c>
      <c r="Y40" s="784">
        <f>2*X40</f>
        <v>266</v>
      </c>
      <c r="Z40" s="775">
        <f>Y40+(23)</f>
        <v>289</v>
      </c>
      <c r="AA40" s="871">
        <f>Z40-H40</f>
        <v>85.22</v>
      </c>
      <c r="AB40" s="871">
        <f>Z40-I40</f>
        <v>176.92099999999999</v>
      </c>
      <c r="AC40" s="1500">
        <f>59+(466-199)</f>
        <v>326</v>
      </c>
      <c r="AD40" s="770">
        <f t="shared" si="51"/>
        <v>102.187</v>
      </c>
      <c r="AE40" s="772">
        <f>X40-V40+AD40</f>
        <v>142.18700000000001</v>
      </c>
      <c r="AF40" s="501">
        <f>2*AE40</f>
        <v>284.37400000000002</v>
      </c>
      <c r="AG40" s="501">
        <f>AF40+(23)</f>
        <v>307.37400000000002</v>
      </c>
      <c r="AH40" s="774">
        <f>AG40-I40</f>
        <v>195.29500000000002</v>
      </c>
      <c r="AI40" s="1107" t="s">
        <v>801</v>
      </c>
      <c r="AJ40" s="472">
        <v>105</v>
      </c>
      <c r="AK40" s="475">
        <f>(2*AJ40)+(2*71)+(2*45)</f>
        <v>442</v>
      </c>
      <c r="AL40" s="477">
        <f>S40-AK40</f>
        <v>754</v>
      </c>
      <c r="AM40" s="624">
        <v>31</v>
      </c>
      <c r="AN40" s="482">
        <f>300+(1*23)+AM40</f>
        <v>354</v>
      </c>
      <c r="AO40" s="474">
        <f>Z40-AN40</f>
        <v>-65</v>
      </c>
      <c r="AP40" s="483"/>
      <c r="AQ40" s="9" t="s">
        <v>185</v>
      </c>
      <c r="AR40" s="276">
        <f t="shared" ref="AR40:AR42" si="57">H40</f>
        <v>203.78</v>
      </c>
      <c r="AS40" s="261">
        <f t="shared" ref="AS40:AS42" si="58">Z40</f>
        <v>289</v>
      </c>
      <c r="AT40" s="261">
        <f t="shared" ref="AT40:AT42" si="59">AN40</f>
        <v>354</v>
      </c>
      <c r="AU40" s="804">
        <f t="shared" si="52"/>
        <v>144.90000000000009</v>
      </c>
      <c r="AV40" s="343">
        <f t="shared" ref="AV40:AV42" si="60">S40-AK40</f>
        <v>754</v>
      </c>
      <c r="AW40" s="1505">
        <f t="shared" ref="AW40:AW42" si="61">(L40+M40)/S40</f>
        <v>0.17976588628762541</v>
      </c>
      <c r="BE40" s="1161">
        <f t="shared" ref="BE40:BE42" si="62">B40</f>
        <v>15</v>
      </c>
      <c r="BF40" s="1525"/>
      <c r="BG40" s="773"/>
    </row>
    <row r="41" spans="1:59" s="472" customFormat="1" ht="16" customHeight="1">
      <c r="A41" s="596">
        <f t="shared" si="54"/>
        <v>16</v>
      </c>
      <c r="B41" s="907">
        <f t="shared" si="54"/>
        <v>16</v>
      </c>
      <c r="C41" s="517" t="s">
        <v>59</v>
      </c>
      <c r="D41" s="1500">
        <v>268</v>
      </c>
      <c r="E41" s="1499">
        <f>2*D41</f>
        <v>536</v>
      </c>
      <c r="F41" s="1499">
        <f>2*273</f>
        <v>546</v>
      </c>
      <c r="G41" s="1514">
        <f>1.15*F41</f>
        <v>627.9</v>
      </c>
      <c r="H41" s="1082">
        <f t="shared" si="55"/>
        <v>123.28</v>
      </c>
      <c r="I41" s="1083">
        <f>0.5*(H41*1.1)</f>
        <v>67.804000000000002</v>
      </c>
      <c r="J41" s="1205">
        <v>155</v>
      </c>
      <c r="K41" s="1205">
        <v>15</v>
      </c>
      <c r="L41" s="1205">
        <v>200</v>
      </c>
      <c r="M41" s="1205">
        <v>15</v>
      </c>
      <c r="N41" s="1205">
        <v>0</v>
      </c>
      <c r="O41" s="1205">
        <v>38</v>
      </c>
      <c r="P41" s="1205">
        <v>0</v>
      </c>
      <c r="Q41" s="1205">
        <f t="shared" si="56"/>
        <v>423</v>
      </c>
      <c r="R41" s="776">
        <f>2*Q41</f>
        <v>846</v>
      </c>
      <c r="S41" s="500">
        <f t="shared" si="50"/>
        <v>988</v>
      </c>
      <c r="T41" s="779">
        <v>30</v>
      </c>
      <c r="U41" s="779">
        <v>10</v>
      </c>
      <c r="V41" s="779">
        <v>47</v>
      </c>
      <c r="W41" s="779">
        <v>0</v>
      </c>
      <c r="X41" s="779">
        <f>SUM(T41:W41)</f>
        <v>87</v>
      </c>
      <c r="Y41" s="784">
        <f>2*X41</f>
        <v>174</v>
      </c>
      <c r="Z41" s="775">
        <f>Y41+(23)</f>
        <v>197</v>
      </c>
      <c r="AA41" s="871">
        <f>Z41-H41</f>
        <v>73.72</v>
      </c>
      <c r="AB41" s="871">
        <f>Z41-I41</f>
        <v>129.196</v>
      </c>
      <c r="AC41" s="1500">
        <v>59</v>
      </c>
      <c r="AD41" s="770">
        <f t="shared" si="51"/>
        <v>46.250500000000002</v>
      </c>
      <c r="AE41" s="772">
        <f>X41-V41+AD41</f>
        <v>86.250500000000002</v>
      </c>
      <c r="AF41" s="501">
        <f>2*AE41</f>
        <v>172.501</v>
      </c>
      <c r="AG41" s="501">
        <f>AF41+(23)</f>
        <v>195.501</v>
      </c>
      <c r="AH41" s="774">
        <f>AG41-I41</f>
        <v>127.697</v>
      </c>
      <c r="AI41" s="1107" t="s">
        <v>802</v>
      </c>
      <c r="AJ41" s="490">
        <v>170</v>
      </c>
      <c r="AK41" s="475">
        <f>(2*AJ41)+(2*71)+(2*45)</f>
        <v>572</v>
      </c>
      <c r="AL41" s="477">
        <f>S41-AK41</f>
        <v>416</v>
      </c>
      <c r="AM41" s="624">
        <v>31</v>
      </c>
      <c r="AN41" s="482">
        <f>506+(1*23)+AM41</f>
        <v>560</v>
      </c>
      <c r="AO41" s="474">
        <f>Z41-AN41</f>
        <v>-363</v>
      </c>
      <c r="AP41" s="483"/>
      <c r="AQ41" s="476" t="s">
        <v>61</v>
      </c>
      <c r="AR41" s="276">
        <f t="shared" si="57"/>
        <v>123.28</v>
      </c>
      <c r="AS41" s="261">
        <f t="shared" si="58"/>
        <v>197</v>
      </c>
      <c r="AT41" s="261">
        <f t="shared" si="59"/>
        <v>560</v>
      </c>
      <c r="AU41" s="804">
        <f t="shared" si="52"/>
        <v>360.1</v>
      </c>
      <c r="AV41" s="343">
        <f t="shared" si="60"/>
        <v>416</v>
      </c>
      <c r="AW41" s="1505">
        <f t="shared" si="61"/>
        <v>0.21761133603238866</v>
      </c>
      <c r="BE41" s="1161">
        <f t="shared" si="62"/>
        <v>16</v>
      </c>
      <c r="BF41" s="1525"/>
      <c r="BG41" s="773"/>
    </row>
    <row r="42" spans="1:59" s="472" customFormat="1" ht="16" customHeight="1">
      <c r="A42" s="596">
        <f t="shared" si="54"/>
        <v>17</v>
      </c>
      <c r="B42" s="907">
        <f t="shared" si="54"/>
        <v>17</v>
      </c>
      <c r="C42" s="517" t="s">
        <v>68</v>
      </c>
      <c r="D42" s="1500">
        <v>529</v>
      </c>
      <c r="E42" s="1514">
        <f>2*D42</f>
        <v>1058</v>
      </c>
      <c r="F42" s="1514">
        <f>2*545</f>
        <v>1090</v>
      </c>
      <c r="G42" s="1514">
        <f>1.15*F42</f>
        <v>1253.5</v>
      </c>
      <c r="H42" s="1082">
        <f t="shared" si="55"/>
        <v>243.34</v>
      </c>
      <c r="I42" s="1083">
        <f>0.5*(H42*1.1)</f>
        <v>133.83700000000002</v>
      </c>
      <c r="J42" s="1205">
        <v>155</v>
      </c>
      <c r="K42" s="1205">
        <v>15</v>
      </c>
      <c r="L42" s="1205">
        <v>200</v>
      </c>
      <c r="M42" s="1205">
        <v>15</v>
      </c>
      <c r="N42" s="1205">
        <v>0</v>
      </c>
      <c r="O42" s="1205">
        <v>142</v>
      </c>
      <c r="P42" s="1205">
        <f>176+30</f>
        <v>206</v>
      </c>
      <c r="Q42" s="1205">
        <f t="shared" si="56"/>
        <v>733</v>
      </c>
      <c r="R42" s="776">
        <f>2*Q42</f>
        <v>1466</v>
      </c>
      <c r="S42" s="500">
        <f t="shared" si="50"/>
        <v>1608</v>
      </c>
      <c r="T42" s="779">
        <v>30</v>
      </c>
      <c r="U42" s="779">
        <v>10</v>
      </c>
      <c r="V42" s="779">
        <v>93</v>
      </c>
      <c r="W42" s="779">
        <v>36.5</v>
      </c>
      <c r="X42" s="779">
        <f>SUM(T42:W42)</f>
        <v>169.5</v>
      </c>
      <c r="Y42" s="784">
        <f>2*X42</f>
        <v>339</v>
      </c>
      <c r="Z42" s="775">
        <f>Y42+(23)</f>
        <v>362</v>
      </c>
      <c r="AA42" s="871">
        <f>Z42-H42</f>
        <v>118.66</v>
      </c>
      <c r="AB42" s="871">
        <f>Z42-I42</f>
        <v>228.16299999999998</v>
      </c>
      <c r="AC42" s="1500">
        <f>59+(466-199)</f>
        <v>326</v>
      </c>
      <c r="AD42" s="770">
        <f t="shared" si="51"/>
        <v>102.187</v>
      </c>
      <c r="AE42" s="772">
        <f>X42-V42+AD42</f>
        <v>178.68700000000001</v>
      </c>
      <c r="AF42" s="501">
        <f>2*AE42</f>
        <v>357.37400000000002</v>
      </c>
      <c r="AG42" s="501">
        <f>AF42+(23)</f>
        <v>380.37400000000002</v>
      </c>
      <c r="AH42" s="774">
        <f>AG42-I42</f>
        <v>246.53700000000001</v>
      </c>
      <c r="AI42" s="1107" t="s">
        <v>803</v>
      </c>
      <c r="AJ42" s="490">
        <v>210</v>
      </c>
      <c r="AK42" s="475">
        <f>(2*AJ42)+(2*71)+(2*45)</f>
        <v>652</v>
      </c>
      <c r="AL42" s="477">
        <f>S42-AK42</f>
        <v>956</v>
      </c>
      <c r="AM42" s="624">
        <v>31</v>
      </c>
      <c r="AN42" s="482">
        <f>364+(1*23)+AM43</f>
        <v>387</v>
      </c>
      <c r="AO42" s="474">
        <f>Z42-AN42</f>
        <v>-25</v>
      </c>
      <c r="AP42" s="483"/>
      <c r="AQ42" s="9" t="s">
        <v>186</v>
      </c>
      <c r="AR42" s="276">
        <f t="shared" si="57"/>
        <v>243.34</v>
      </c>
      <c r="AS42" s="261">
        <f t="shared" si="58"/>
        <v>362</v>
      </c>
      <c r="AT42" s="261">
        <f t="shared" si="59"/>
        <v>387</v>
      </c>
      <c r="AU42" s="804">
        <f t="shared" si="52"/>
        <v>354.5</v>
      </c>
      <c r="AV42" s="343">
        <f t="shared" si="60"/>
        <v>956</v>
      </c>
      <c r="AW42" s="1505">
        <f t="shared" si="61"/>
        <v>0.13370646766169153</v>
      </c>
      <c r="BE42" s="1161">
        <f t="shared" si="62"/>
        <v>17</v>
      </c>
      <c r="BF42" s="1525"/>
      <c r="BG42" s="773"/>
    </row>
    <row r="43" spans="1:59" ht="269" customHeight="1">
      <c r="D43" s="1817" t="s">
        <v>1114</v>
      </c>
      <c r="E43" s="1688"/>
      <c r="F43" s="1070" t="s">
        <v>1086</v>
      </c>
      <c r="G43" s="1077" t="s">
        <v>1087</v>
      </c>
      <c r="H43" s="1238" t="s">
        <v>193</v>
      </c>
      <c r="I43" s="996"/>
      <c r="J43" s="1070" t="s">
        <v>1115</v>
      </c>
      <c r="K43" s="1426" t="s">
        <v>501</v>
      </c>
      <c r="L43" s="1426" t="s">
        <v>1116</v>
      </c>
      <c r="M43" s="1426" t="s">
        <v>501</v>
      </c>
      <c r="N43" s="1426" t="s">
        <v>504</v>
      </c>
      <c r="O43" s="1478" t="s">
        <v>1119</v>
      </c>
      <c r="P43" s="1494" t="s">
        <v>1170</v>
      </c>
      <c r="Q43" s="14"/>
      <c r="R43" s="26"/>
      <c r="S43" s="1491" t="s">
        <v>1052</v>
      </c>
      <c r="T43" s="1070" t="s">
        <v>1120</v>
      </c>
      <c r="U43" s="601" t="s">
        <v>1169</v>
      </c>
      <c r="V43" s="1350" t="s">
        <v>516</v>
      </c>
      <c r="W43" s="399" t="s">
        <v>1171</v>
      </c>
      <c r="X43" s="14"/>
      <c r="Y43" s="26"/>
      <c r="Z43" s="553" t="s">
        <v>1051</v>
      </c>
      <c r="AA43" s="174"/>
      <c r="AB43" s="1493" t="s">
        <v>192</v>
      </c>
      <c r="AC43" s="1336" t="s">
        <v>526</v>
      </c>
      <c r="AD43" s="27"/>
      <c r="AE43" s="115"/>
      <c r="AG43" s="553" t="s">
        <v>1051</v>
      </c>
      <c r="AH43" s="162"/>
      <c r="AI43" s="27"/>
      <c r="AJ43" s="1371" t="s">
        <v>1145</v>
      </c>
      <c r="AK43" s="1490" t="s">
        <v>15</v>
      </c>
      <c r="AL43" s="47"/>
      <c r="AM43" s="47"/>
      <c r="AN43" s="1497" t="s">
        <v>1054</v>
      </c>
    </row>
    <row r="44" spans="1:59" ht="15" customHeight="1">
      <c r="D44" s="59"/>
      <c r="E44" s="314"/>
      <c r="F44" s="265"/>
      <c r="G44" s="401"/>
      <c r="H44" s="192"/>
      <c r="I44" s="399"/>
      <c r="K44" s="488"/>
      <c r="L44" s="1612"/>
      <c r="M44" s="488"/>
      <c r="N44" s="159"/>
      <c r="O44" s="159"/>
      <c r="P44" s="488"/>
      <c r="R44" s="27"/>
      <c r="S44" s="27"/>
      <c r="T44" s="488"/>
      <c r="U44" s="495"/>
      <c r="V44" s="70"/>
      <c r="W44" s="194"/>
      <c r="Y44" s="27"/>
      <c r="Z44" s="27"/>
      <c r="AA44" s="70"/>
      <c r="AB44" s="203"/>
      <c r="AC44" s="493"/>
      <c r="AD44" s="27"/>
      <c r="AE44" s="27"/>
      <c r="AH44" s="27"/>
      <c r="AI44" s="27"/>
      <c r="AJ44" s="205"/>
      <c r="AK44" s="204"/>
      <c r="AL44" s="47"/>
      <c r="AM44" s="47"/>
      <c r="AN44" s="73"/>
      <c r="AU44" s="510" t="s">
        <v>105</v>
      </c>
      <c r="AV44" s="510" t="s">
        <v>105</v>
      </c>
    </row>
    <row r="45" spans="1:59" ht="15" customHeight="1">
      <c r="B45" s="10"/>
      <c r="AK45" s="14"/>
    </row>
    <row r="46" spans="1:59" ht="33" customHeight="1">
      <c r="B46" s="904" t="s">
        <v>100</v>
      </c>
      <c r="C46" s="504" t="s">
        <v>120</v>
      </c>
      <c r="D46" s="2022" t="s">
        <v>168</v>
      </c>
      <c r="E46" s="2022"/>
      <c r="F46" s="2022"/>
      <c r="G46" s="2022"/>
      <c r="H46" s="2022"/>
      <c r="I46" s="2023"/>
      <c r="J46" s="1983" t="s">
        <v>645</v>
      </c>
      <c r="K46" s="1984"/>
      <c r="L46" s="1985"/>
      <c r="M46" s="1985"/>
      <c r="N46" s="1985"/>
      <c r="O46" s="1985"/>
      <c r="P46" s="1986"/>
      <c r="Q46" s="1985"/>
      <c r="R46" s="1991" t="s">
        <v>646</v>
      </c>
      <c r="S46" s="1992"/>
      <c r="T46" s="2017" t="s">
        <v>647</v>
      </c>
      <c r="U46" s="2018"/>
      <c r="V46" s="2018"/>
      <c r="W46" s="2018"/>
      <c r="X46" s="2018"/>
      <c r="Y46" s="1993" t="s">
        <v>648</v>
      </c>
      <c r="Z46" s="1994"/>
      <c r="AA46" s="178"/>
      <c r="AB46" s="178"/>
      <c r="AC46" s="1922" t="s">
        <v>162</v>
      </c>
      <c r="AD46" s="1923"/>
      <c r="AE46" s="1923"/>
      <c r="AF46" s="1926" t="s">
        <v>649</v>
      </c>
      <c r="AG46" s="1927"/>
      <c r="AH46" s="462"/>
      <c r="AI46" s="2012" t="s">
        <v>167</v>
      </c>
      <c r="AJ46" s="2013"/>
      <c r="AK46" s="2013"/>
      <c r="AL46" s="2013"/>
      <c r="AM46" s="2013"/>
      <c r="AN46" s="2014"/>
      <c r="AO46" s="463"/>
      <c r="AP46" s="485"/>
      <c r="AQ46" s="464"/>
      <c r="AR46" s="464"/>
      <c r="AS46" s="464"/>
      <c r="AT46" s="465"/>
      <c r="AU46" s="464"/>
    </row>
    <row r="47" spans="1:59" ht="15" customHeight="1">
      <c r="C47" s="505"/>
      <c r="D47" s="466">
        <v>1</v>
      </c>
      <c r="E47" s="466">
        <v>2</v>
      </c>
      <c r="F47" s="466">
        <v>3</v>
      </c>
      <c r="G47" s="466">
        <v>4</v>
      </c>
      <c r="H47" s="466">
        <v>5</v>
      </c>
      <c r="I47" s="466">
        <v>6</v>
      </c>
      <c r="J47" s="466">
        <v>7</v>
      </c>
      <c r="K47" s="466">
        <v>8</v>
      </c>
      <c r="L47" s="466">
        <v>9</v>
      </c>
      <c r="M47" s="466">
        <v>10</v>
      </c>
      <c r="N47" s="466">
        <v>11</v>
      </c>
      <c r="O47" s="466">
        <v>12</v>
      </c>
      <c r="P47" s="466">
        <v>13</v>
      </c>
      <c r="Q47" s="466">
        <v>14</v>
      </c>
      <c r="R47" s="1005">
        <f>Q47+1</f>
        <v>15</v>
      </c>
      <c r="S47" s="1007">
        <f>R47+1</f>
        <v>16</v>
      </c>
      <c r="T47" s="466">
        <v>17</v>
      </c>
      <c r="U47" s="466">
        <v>18</v>
      </c>
      <c r="V47" s="466">
        <v>19</v>
      </c>
      <c r="W47" s="466">
        <v>20</v>
      </c>
      <c r="X47" s="466">
        <v>21</v>
      </c>
      <c r="Y47" s="137">
        <f t="shared" ref="Y47" si="63">X47+1</f>
        <v>22</v>
      </c>
      <c r="Z47" s="137">
        <f t="shared" ref="Z47" si="64">Y47+1</f>
        <v>23</v>
      </c>
      <c r="AA47" s="466">
        <v>24</v>
      </c>
      <c r="AB47" s="467">
        <v>25</v>
      </c>
      <c r="AC47" s="466">
        <v>26</v>
      </c>
      <c r="AD47" s="466">
        <v>27</v>
      </c>
      <c r="AE47" s="466">
        <v>28</v>
      </c>
      <c r="AF47" s="1084">
        <v>29</v>
      </c>
      <c r="AG47" s="1085">
        <v>30</v>
      </c>
      <c r="AH47" s="467">
        <v>31</v>
      </c>
      <c r="AI47" s="50">
        <f t="shared" ref="AI47:AO47" si="65">AH47+1</f>
        <v>32</v>
      </c>
      <c r="AJ47" s="50">
        <f t="shared" si="65"/>
        <v>33</v>
      </c>
      <c r="AK47" s="50">
        <f t="shared" si="65"/>
        <v>34</v>
      </c>
      <c r="AL47" s="50">
        <f t="shared" si="65"/>
        <v>35</v>
      </c>
      <c r="AM47" s="1076">
        <f t="shared" si="65"/>
        <v>36</v>
      </c>
      <c r="AN47" s="1076">
        <f t="shared" si="65"/>
        <v>37</v>
      </c>
      <c r="AO47" s="1076">
        <f t="shared" si="65"/>
        <v>38</v>
      </c>
      <c r="AP47" s="486"/>
      <c r="AQ47" s="459"/>
      <c r="AR47" s="466"/>
      <c r="AS47" s="466"/>
      <c r="AT47" s="468"/>
      <c r="AU47" s="466"/>
    </row>
    <row r="48" spans="1:59" ht="158" customHeight="1">
      <c r="C48" s="566" t="s">
        <v>1121</v>
      </c>
      <c r="D48" s="1234" t="s">
        <v>1123</v>
      </c>
      <c r="E48" s="1235" t="s">
        <v>1124</v>
      </c>
      <c r="F48" s="1235" t="s">
        <v>246</v>
      </c>
      <c r="G48" s="1235" t="s">
        <v>234</v>
      </c>
      <c r="H48" s="805" t="s">
        <v>247</v>
      </c>
      <c r="I48" s="1002" t="s">
        <v>248</v>
      </c>
      <c r="J48" s="1240" t="s">
        <v>1210</v>
      </c>
      <c r="K48" s="1488" t="s">
        <v>519</v>
      </c>
      <c r="L48" s="1488" t="s">
        <v>520</v>
      </c>
      <c r="M48" s="1240" t="s">
        <v>521</v>
      </c>
      <c r="N48" s="1488" t="s">
        <v>522</v>
      </c>
      <c r="O48" s="1488" t="s">
        <v>523</v>
      </c>
      <c r="P48" s="1488" t="s">
        <v>479</v>
      </c>
      <c r="Q48" s="1501" t="s">
        <v>492</v>
      </c>
      <c r="R48" s="771" t="s">
        <v>1091</v>
      </c>
      <c r="S48" s="400" t="s">
        <v>384</v>
      </c>
      <c r="T48" s="872" t="s">
        <v>480</v>
      </c>
      <c r="U48" s="872" t="s">
        <v>524</v>
      </c>
      <c r="V48" s="872" t="s">
        <v>261</v>
      </c>
      <c r="W48" s="872" t="s">
        <v>261</v>
      </c>
      <c r="X48" s="1020" t="s">
        <v>494</v>
      </c>
      <c r="Y48" s="521" t="s">
        <v>995</v>
      </c>
      <c r="Z48" s="599" t="s">
        <v>996</v>
      </c>
      <c r="AA48" s="1010" t="s">
        <v>265</v>
      </c>
      <c r="AB48" s="1010" t="s">
        <v>266</v>
      </c>
      <c r="AC48" s="1234" t="s">
        <v>481</v>
      </c>
      <c r="AD48" s="1045" t="s">
        <v>369</v>
      </c>
      <c r="AE48" s="1088" t="s">
        <v>478</v>
      </c>
      <c r="AF48" s="605" t="s">
        <v>350</v>
      </c>
      <c r="AG48" s="187" t="s">
        <v>1104</v>
      </c>
      <c r="AH48" s="1087" t="s">
        <v>271</v>
      </c>
      <c r="AI48" s="1240" t="s">
        <v>808</v>
      </c>
      <c r="AJ48" s="1264" t="s">
        <v>809</v>
      </c>
      <c r="AK48" s="1364" t="s">
        <v>14</v>
      </c>
      <c r="AL48" s="1236" t="s">
        <v>1</v>
      </c>
      <c r="AM48" s="1010" t="s">
        <v>810</v>
      </c>
      <c r="AN48" s="1002" t="s">
        <v>746</v>
      </c>
      <c r="AO48" s="516" t="s">
        <v>272</v>
      </c>
      <c r="AP48" s="487"/>
      <c r="AQ48" s="408" t="s">
        <v>572</v>
      </c>
      <c r="AR48" s="805" t="s">
        <v>357</v>
      </c>
      <c r="AS48" s="988" t="s">
        <v>273</v>
      </c>
      <c r="AT48" s="806" t="s">
        <v>567</v>
      </c>
      <c r="AU48" s="1008" t="s">
        <v>811</v>
      </c>
      <c r="AV48" s="1008" t="s">
        <v>745</v>
      </c>
      <c r="AW48" s="1364" t="s">
        <v>1099</v>
      </c>
      <c r="BE48" s="1149" t="s">
        <v>822</v>
      </c>
      <c r="BF48" s="1472"/>
    </row>
    <row r="49" spans="1:59" s="515" customFormat="1" ht="15" customHeight="1">
      <c r="A49" s="597">
        <f>A42+1</f>
        <v>18</v>
      </c>
      <c r="B49" s="908">
        <f>B42+1</f>
        <v>18</v>
      </c>
      <c r="C49" s="539" t="s">
        <v>5</v>
      </c>
      <c r="D49" s="1486">
        <v>188</v>
      </c>
      <c r="E49" s="1601">
        <f>2*D49</f>
        <v>376</v>
      </c>
      <c r="F49" s="1601">
        <f>2*226</f>
        <v>452</v>
      </c>
      <c r="G49" s="1514">
        <f>1.15*F49</f>
        <v>519.79999999999995</v>
      </c>
      <c r="H49" s="1082">
        <f>0.23*E49</f>
        <v>86.48</v>
      </c>
      <c r="I49" s="1083">
        <f>0.5*(H49*1.1)</f>
        <v>47.564000000000007</v>
      </c>
      <c r="J49" s="1206">
        <v>262</v>
      </c>
      <c r="K49" s="1204">
        <v>15</v>
      </c>
      <c r="L49" s="1205">
        <v>98</v>
      </c>
      <c r="M49" s="1204" t="s">
        <v>127</v>
      </c>
      <c r="N49" s="1204" t="s">
        <v>127</v>
      </c>
      <c r="O49" s="1204" t="s">
        <v>127</v>
      </c>
      <c r="P49" s="1204" t="s">
        <v>127</v>
      </c>
      <c r="Q49" s="1205">
        <f>SUM(J49:P49)</f>
        <v>375</v>
      </c>
      <c r="R49" s="776">
        <f>2*Q49</f>
        <v>750</v>
      </c>
      <c r="S49" s="499">
        <f>R49+(2*71)</f>
        <v>892</v>
      </c>
      <c r="T49" s="780">
        <v>23</v>
      </c>
      <c r="U49" s="852">
        <v>74</v>
      </c>
      <c r="V49" s="778" t="s">
        <v>127</v>
      </c>
      <c r="W49" s="778" t="s">
        <v>127</v>
      </c>
      <c r="X49" s="779">
        <f>SUM(T49:W49)</f>
        <v>97</v>
      </c>
      <c r="Y49" s="529">
        <f>2*X49</f>
        <v>194</v>
      </c>
      <c r="Z49" s="520">
        <f>Y49+(23)</f>
        <v>217</v>
      </c>
      <c r="AA49" s="758">
        <f>Z49-H49</f>
        <v>130.51999999999998</v>
      </c>
      <c r="AB49" s="758">
        <f>Z49-I49</f>
        <v>169.43599999999998</v>
      </c>
      <c r="AC49" s="1486">
        <v>199</v>
      </c>
      <c r="AD49" s="770">
        <f t="shared" ref="AD49:AD52" si="66">33.89+(AC49*0.2095)</f>
        <v>75.580500000000001</v>
      </c>
      <c r="AE49" s="772">
        <f>X49-U49+AD49</f>
        <v>98.580500000000001</v>
      </c>
      <c r="AF49" s="501">
        <f>2*AE49</f>
        <v>197.161</v>
      </c>
      <c r="AG49" s="501">
        <f>AF49+(23)</f>
        <v>220.161</v>
      </c>
      <c r="AH49" s="774">
        <f>AG49-I49</f>
        <v>172.59699999999998</v>
      </c>
      <c r="AI49" s="1261" t="s">
        <v>766</v>
      </c>
      <c r="AJ49" s="1482">
        <v>60</v>
      </c>
      <c r="AK49" s="1261">
        <f>(2*AJ49)+(2*71)+(2*45)</f>
        <v>352</v>
      </c>
      <c r="AL49" s="1516">
        <f>S49-AK49</f>
        <v>540</v>
      </c>
      <c r="AM49" s="624">
        <v>31</v>
      </c>
      <c r="AN49" s="482">
        <f>523+(1*23)+AM49</f>
        <v>577</v>
      </c>
      <c r="AO49" s="474">
        <f>Z49-AN49</f>
        <v>-360</v>
      </c>
      <c r="AP49" s="514"/>
      <c r="AQ49" s="344" t="s">
        <v>827</v>
      </c>
      <c r="AR49" s="276">
        <f>H49</f>
        <v>86.48</v>
      </c>
      <c r="AS49" s="261">
        <f>Z49</f>
        <v>217</v>
      </c>
      <c r="AT49" s="261">
        <f>AN49</f>
        <v>577</v>
      </c>
      <c r="AU49" s="804">
        <f t="shared" ref="AU49:AU52" si="67">S49-G49</f>
        <v>372.20000000000005</v>
      </c>
      <c r="AV49" s="343">
        <f t="shared" ref="AV49" si="68">S49-AK49</f>
        <v>540</v>
      </c>
      <c r="AW49" s="1505">
        <f>(L49+K49)/S49</f>
        <v>0.12668161434977579</v>
      </c>
      <c r="BE49" s="1151">
        <f>B49</f>
        <v>18</v>
      </c>
      <c r="BF49" s="1526"/>
      <c r="BG49" s="1092"/>
    </row>
    <row r="50" spans="1:59" s="515" customFormat="1" ht="15" customHeight="1">
      <c r="A50" s="597">
        <f t="shared" ref="A50:B52" si="69">A49+1</f>
        <v>19</v>
      </c>
      <c r="B50" s="908">
        <f t="shared" si="69"/>
        <v>19</v>
      </c>
      <c r="C50" s="539" t="s">
        <v>6</v>
      </c>
      <c r="D50" s="1486">
        <v>314</v>
      </c>
      <c r="E50" s="1601">
        <f>2*D50</f>
        <v>628</v>
      </c>
      <c r="F50" s="1601">
        <f>2*338</f>
        <v>676</v>
      </c>
      <c r="G50" s="1514">
        <f>1.15*F50</f>
        <v>777.4</v>
      </c>
      <c r="H50" s="1082">
        <f t="shared" ref="H50:H52" si="70">0.23*E50</f>
        <v>144.44</v>
      </c>
      <c r="I50" s="1083">
        <f>0.5*(H50*1.1)</f>
        <v>79.442000000000007</v>
      </c>
      <c r="J50" s="1206">
        <v>262</v>
      </c>
      <c r="K50" s="1204">
        <v>15</v>
      </c>
      <c r="L50" s="1205">
        <f>214-98</f>
        <v>116</v>
      </c>
      <c r="M50" s="1204" t="s">
        <v>127</v>
      </c>
      <c r="N50" s="1204" t="s">
        <v>127</v>
      </c>
      <c r="O50" s="1204" t="s">
        <v>127</v>
      </c>
      <c r="P50" s="1204" t="s">
        <v>127</v>
      </c>
      <c r="Q50" s="1205">
        <f>SUM(J50:P50)</f>
        <v>393</v>
      </c>
      <c r="R50" s="776">
        <f>2*Q50</f>
        <v>786</v>
      </c>
      <c r="S50" s="499">
        <f>R50+(2*71)</f>
        <v>928</v>
      </c>
      <c r="T50" s="780">
        <v>23</v>
      </c>
      <c r="U50" s="852">
        <v>82</v>
      </c>
      <c r="V50" s="778" t="s">
        <v>127</v>
      </c>
      <c r="W50" s="778" t="s">
        <v>127</v>
      </c>
      <c r="X50" s="779">
        <f>SUM(T50:W50)</f>
        <v>105</v>
      </c>
      <c r="Y50" s="529">
        <f>2*X50</f>
        <v>210</v>
      </c>
      <c r="Z50" s="520">
        <f>Y50+(23)</f>
        <v>233</v>
      </c>
      <c r="AA50" s="758">
        <f>Z50-H50</f>
        <v>88.56</v>
      </c>
      <c r="AB50" s="758">
        <f>Z50-I50</f>
        <v>153.55799999999999</v>
      </c>
      <c r="AC50" s="1486">
        <f>466-199</f>
        <v>267</v>
      </c>
      <c r="AD50" s="770">
        <f t="shared" si="66"/>
        <v>89.826499999999996</v>
      </c>
      <c r="AE50" s="772">
        <f>X50-U50+AD50</f>
        <v>112.8265</v>
      </c>
      <c r="AF50" s="501">
        <f>2*AE50</f>
        <v>225.65299999999999</v>
      </c>
      <c r="AG50" s="501">
        <f>AF50+(23)</f>
        <v>248.65299999999999</v>
      </c>
      <c r="AH50" s="774">
        <f>AG50-I50</f>
        <v>169.21099999999998</v>
      </c>
      <c r="AI50" s="1261" t="s">
        <v>763</v>
      </c>
      <c r="AJ50" s="1482">
        <v>74</v>
      </c>
      <c r="AK50" s="1261">
        <f>(2*AJ50)+(2*71)+(2*45)</f>
        <v>380</v>
      </c>
      <c r="AL50" s="1516">
        <f>S50-AK50</f>
        <v>548</v>
      </c>
      <c r="AM50" s="624">
        <v>31</v>
      </c>
      <c r="AN50" s="482">
        <f>373+(1*23)+AM50</f>
        <v>427</v>
      </c>
      <c r="AO50" s="474">
        <f>Z50-AN50</f>
        <v>-194</v>
      </c>
      <c r="AP50" s="514"/>
      <c r="AQ50" s="344" t="s">
        <v>828</v>
      </c>
      <c r="AR50" s="276">
        <f t="shared" ref="AR50:AR52" si="71">H50</f>
        <v>144.44</v>
      </c>
      <c r="AS50" s="261">
        <f t="shared" ref="AS50:AS52" si="72">Z50</f>
        <v>233</v>
      </c>
      <c r="AT50" s="261">
        <f t="shared" ref="AT50:AT52" si="73">AN50</f>
        <v>427</v>
      </c>
      <c r="AU50" s="804">
        <f t="shared" si="67"/>
        <v>150.60000000000002</v>
      </c>
      <c r="AV50" s="343">
        <f t="shared" ref="AV50:AV52" si="74">S50-AK50</f>
        <v>548</v>
      </c>
      <c r="AW50" s="1505">
        <f t="shared" ref="AW50:AW52" si="75">(L50+K50)/S50</f>
        <v>0.14116379310344829</v>
      </c>
      <c r="BE50" s="1151">
        <f t="shared" ref="BE50:BE52" si="76">B50</f>
        <v>19</v>
      </c>
      <c r="BF50" s="1526"/>
      <c r="BG50" s="1092"/>
    </row>
    <row r="51" spans="1:59" s="515" customFormat="1" ht="15" customHeight="1">
      <c r="A51" s="597">
        <f t="shared" si="69"/>
        <v>20</v>
      </c>
      <c r="B51" s="908">
        <f t="shared" si="69"/>
        <v>20</v>
      </c>
      <c r="C51" s="539" t="s">
        <v>7</v>
      </c>
      <c r="D51" s="1486">
        <v>203</v>
      </c>
      <c r="E51" s="1601">
        <f>2*D51</f>
        <v>406</v>
      </c>
      <c r="F51" s="1601">
        <f>2*231</f>
        <v>462</v>
      </c>
      <c r="G51" s="1514">
        <f>1.15*F51</f>
        <v>531.29999999999995</v>
      </c>
      <c r="H51" s="1082">
        <f t="shared" si="70"/>
        <v>93.38000000000001</v>
      </c>
      <c r="I51" s="1083">
        <f>0.5*(H51*1.1)</f>
        <v>51.359000000000009</v>
      </c>
      <c r="J51" s="1206">
        <v>262</v>
      </c>
      <c r="K51" s="1204">
        <v>15</v>
      </c>
      <c r="L51" s="1205">
        <f>143-98</f>
        <v>45</v>
      </c>
      <c r="M51" s="1204" t="s">
        <v>127</v>
      </c>
      <c r="N51" s="1204" t="s">
        <v>127</v>
      </c>
      <c r="O51" s="1204" t="s">
        <v>127</v>
      </c>
      <c r="P51" s="1204" t="s">
        <v>127</v>
      </c>
      <c r="Q51" s="1205">
        <f>SUM(J51:P51)</f>
        <v>322</v>
      </c>
      <c r="R51" s="776">
        <f>2*Q51</f>
        <v>644</v>
      </c>
      <c r="S51" s="499">
        <f>R51+(2*71)</f>
        <v>786</v>
      </c>
      <c r="T51" s="780">
        <v>23</v>
      </c>
      <c r="U51" s="852">
        <v>59</v>
      </c>
      <c r="V51" s="778" t="s">
        <v>127</v>
      </c>
      <c r="W51" s="778" t="s">
        <v>127</v>
      </c>
      <c r="X51" s="779">
        <f>SUM(T51:W51)</f>
        <v>82</v>
      </c>
      <c r="Y51" s="529">
        <f>2*X51</f>
        <v>164</v>
      </c>
      <c r="Z51" s="520">
        <f>Y51+(23)</f>
        <v>187</v>
      </c>
      <c r="AA51" s="758">
        <f>Z51-H51</f>
        <v>93.61999999999999</v>
      </c>
      <c r="AB51" s="758">
        <f>Z51-I51</f>
        <v>135.64099999999999</v>
      </c>
      <c r="AC51" s="1486">
        <f>306-199</f>
        <v>107</v>
      </c>
      <c r="AD51" s="770">
        <f t="shared" si="66"/>
        <v>56.3065</v>
      </c>
      <c r="AE51" s="772">
        <f>X51-U51+AD51</f>
        <v>79.3065</v>
      </c>
      <c r="AF51" s="501">
        <f>2*AE51</f>
        <v>158.613</v>
      </c>
      <c r="AG51" s="501">
        <f>AF51+(23)</f>
        <v>181.613</v>
      </c>
      <c r="AH51" s="774">
        <f>AG51-I51</f>
        <v>130.25399999999999</v>
      </c>
      <c r="AI51" s="1261" t="s">
        <v>773</v>
      </c>
      <c r="AJ51" s="1482">
        <v>220</v>
      </c>
      <c r="AK51" s="1261">
        <f>(2*AJ51)+(2*71)+(2*45)</f>
        <v>672</v>
      </c>
      <c r="AL51" s="1516">
        <f>S51-AK51</f>
        <v>114</v>
      </c>
      <c r="AM51" s="624">
        <v>31</v>
      </c>
      <c r="AN51" s="482">
        <f>570+(1*23)+AM51</f>
        <v>624</v>
      </c>
      <c r="AO51" s="474">
        <f>Z51-AN51</f>
        <v>-437</v>
      </c>
      <c r="AP51" s="514"/>
      <c r="AQ51" s="539" t="s">
        <v>9</v>
      </c>
      <c r="AR51" s="276">
        <f t="shared" si="71"/>
        <v>93.38000000000001</v>
      </c>
      <c r="AS51" s="261">
        <f t="shared" si="72"/>
        <v>187</v>
      </c>
      <c r="AT51" s="261">
        <f t="shared" si="73"/>
        <v>624</v>
      </c>
      <c r="AU51" s="804">
        <f t="shared" si="67"/>
        <v>254.70000000000005</v>
      </c>
      <c r="AV51" s="343">
        <f t="shared" si="74"/>
        <v>114</v>
      </c>
      <c r="AW51" s="1505">
        <f t="shared" si="75"/>
        <v>7.6335877862595422E-2</v>
      </c>
      <c r="BE51" s="1151">
        <f t="shared" si="76"/>
        <v>20</v>
      </c>
      <c r="BF51" s="1526"/>
      <c r="BG51" s="1092"/>
    </row>
    <row r="52" spans="1:59" s="515" customFormat="1" ht="15" customHeight="1">
      <c r="A52" s="597">
        <f t="shared" si="69"/>
        <v>21</v>
      </c>
      <c r="B52" s="908">
        <f t="shared" si="69"/>
        <v>21</v>
      </c>
      <c r="C52" s="539" t="s">
        <v>8</v>
      </c>
      <c r="D52" s="1486">
        <v>164</v>
      </c>
      <c r="E52" s="1601">
        <f>2*D52</f>
        <v>328</v>
      </c>
      <c r="F52" s="1601">
        <f>2*214</f>
        <v>428</v>
      </c>
      <c r="G52" s="1514">
        <f>1.15*F52</f>
        <v>492.2</v>
      </c>
      <c r="H52" s="1082">
        <f t="shared" si="70"/>
        <v>75.44</v>
      </c>
      <c r="I52" s="1083">
        <f>0.5*(H52*1.1)</f>
        <v>41.492000000000004</v>
      </c>
      <c r="J52" s="1206">
        <v>262</v>
      </c>
      <c r="K52" s="1204">
        <v>15</v>
      </c>
      <c r="L52" s="1205">
        <v>25</v>
      </c>
      <c r="M52" s="1204">
        <v>15</v>
      </c>
      <c r="N52" s="1515">
        <v>200</v>
      </c>
      <c r="O52" s="1204" t="s">
        <v>127</v>
      </c>
      <c r="P52" s="1204" t="s">
        <v>127</v>
      </c>
      <c r="Q52" s="1205">
        <f>SUM(J52:P52)</f>
        <v>517</v>
      </c>
      <c r="R52" s="776">
        <f>2*Q52</f>
        <v>1034</v>
      </c>
      <c r="S52" s="499">
        <f>R52+(2*71)</f>
        <v>1176</v>
      </c>
      <c r="T52" s="780">
        <v>23</v>
      </c>
      <c r="U52" s="852">
        <v>47</v>
      </c>
      <c r="V52" s="780">
        <v>10</v>
      </c>
      <c r="W52" s="778" t="s">
        <v>127</v>
      </c>
      <c r="X52" s="756">
        <f>SUM(T52:W52)</f>
        <v>80</v>
      </c>
      <c r="Y52" s="529">
        <f>2*X52</f>
        <v>160</v>
      </c>
      <c r="Z52" s="520">
        <f>Y52+(23)</f>
        <v>183</v>
      </c>
      <c r="AA52" s="758">
        <f>Z52-H52</f>
        <v>107.56</v>
      </c>
      <c r="AB52" s="781">
        <f>Z52-I52</f>
        <v>141.50799999999998</v>
      </c>
      <c r="AC52" s="1204">
        <v>59</v>
      </c>
      <c r="AD52" s="770">
        <f t="shared" si="66"/>
        <v>46.250500000000002</v>
      </c>
      <c r="AE52" s="772">
        <f>X52-U52+AD52</f>
        <v>79.250500000000002</v>
      </c>
      <c r="AF52" s="501">
        <f>2*AE52</f>
        <v>158.501</v>
      </c>
      <c r="AG52" s="501">
        <f>AF52+(23)</f>
        <v>181.501</v>
      </c>
      <c r="AH52" s="774">
        <f>AG52-I52</f>
        <v>140.00900000000001</v>
      </c>
      <c r="AI52" s="1261" t="s">
        <v>772</v>
      </c>
      <c r="AJ52" s="1482">
        <v>220</v>
      </c>
      <c r="AK52" s="1261">
        <f>(2*AJ52)+(2*71)+(2*45)</f>
        <v>672</v>
      </c>
      <c r="AL52" s="1516">
        <f>S52-AK52</f>
        <v>504</v>
      </c>
      <c r="AM52" s="624">
        <v>31</v>
      </c>
      <c r="AN52" s="482">
        <f>510+(1*23)+AM52</f>
        <v>564</v>
      </c>
      <c r="AO52" s="474">
        <f>Z52-AN52</f>
        <v>-381</v>
      </c>
      <c r="AP52" s="514"/>
      <c r="AQ52" s="539" t="s">
        <v>10</v>
      </c>
      <c r="AR52" s="276">
        <f t="shared" si="71"/>
        <v>75.44</v>
      </c>
      <c r="AS52" s="261">
        <f t="shared" si="72"/>
        <v>183</v>
      </c>
      <c r="AT52" s="261">
        <f t="shared" si="73"/>
        <v>564</v>
      </c>
      <c r="AU52" s="804">
        <f t="shared" si="67"/>
        <v>683.8</v>
      </c>
      <c r="AV52" s="343">
        <f t="shared" si="74"/>
        <v>504</v>
      </c>
      <c r="AW52" s="1505">
        <f t="shared" si="75"/>
        <v>3.4013605442176874E-2</v>
      </c>
      <c r="BE52" s="1151">
        <f t="shared" si="76"/>
        <v>21</v>
      </c>
      <c r="BF52" s="1526"/>
      <c r="BG52" s="1092"/>
    </row>
    <row r="53" spans="1:59" ht="15" customHeight="1">
      <c r="D53" s="1818" t="s">
        <v>1122</v>
      </c>
      <c r="E53" s="2024"/>
      <c r="F53" s="2027" t="s">
        <v>1125</v>
      </c>
      <c r="G53" s="2028" t="s">
        <v>1126</v>
      </c>
      <c r="H53" s="2026" t="s">
        <v>193</v>
      </c>
      <c r="I53" s="1947"/>
      <c r="J53" s="1876" t="s">
        <v>1209</v>
      </c>
      <c r="K53" s="1794" t="s">
        <v>1127</v>
      </c>
      <c r="L53" s="2019" t="s">
        <v>504</v>
      </c>
      <c r="M53" s="1884" t="s">
        <v>501</v>
      </c>
      <c r="N53" s="2019" t="s">
        <v>1116</v>
      </c>
      <c r="O53" s="14"/>
      <c r="P53" s="1086"/>
      <c r="Q53" s="14"/>
      <c r="R53" s="26"/>
      <c r="S53" s="2020" t="s">
        <v>1128</v>
      </c>
      <c r="T53" s="1876" t="s">
        <v>1209</v>
      </c>
      <c r="U53" s="1869" t="s">
        <v>525</v>
      </c>
      <c r="V53" s="2021" t="s">
        <v>1208</v>
      </c>
      <c r="W53" s="194"/>
      <c r="Y53" s="26"/>
      <c r="Z53" s="2020" t="s">
        <v>1129</v>
      </c>
      <c r="AA53" s="2041"/>
      <c r="AB53" s="2043" t="s">
        <v>192</v>
      </c>
      <c r="AC53" s="1918" t="s">
        <v>3</v>
      </c>
      <c r="AD53" s="27"/>
      <c r="AE53" s="115"/>
      <c r="AG53" s="2020" t="s">
        <v>1129</v>
      </c>
      <c r="AH53" s="162"/>
      <c r="AI53" s="27"/>
      <c r="AJ53" s="1965" t="s">
        <v>1146</v>
      </c>
      <c r="AK53" s="1794" t="s">
        <v>15</v>
      </c>
      <c r="AL53" s="47"/>
      <c r="AM53" s="47"/>
      <c r="AN53" s="2045" t="s">
        <v>1130</v>
      </c>
      <c r="AO53" s="26"/>
      <c r="BE53" s="515"/>
      <c r="BF53" s="1527"/>
    </row>
    <row r="54" spans="1:59" ht="15" customHeight="1">
      <c r="D54" s="2025"/>
      <c r="E54" s="2024"/>
      <c r="F54" s="2027"/>
      <c r="G54" s="2028"/>
      <c r="H54" s="2026"/>
      <c r="I54" s="1948"/>
      <c r="J54" s="1928"/>
      <c r="K54" s="1996"/>
      <c r="L54" s="1959"/>
      <c r="M54" s="1928"/>
      <c r="N54" s="1959"/>
      <c r="O54" s="14"/>
      <c r="P54" s="1086"/>
      <c r="Q54" s="14"/>
      <c r="R54" s="26"/>
      <c r="S54" s="2020"/>
      <c r="T54" s="1928"/>
      <c r="U54" s="1737"/>
      <c r="V54" s="1971"/>
      <c r="W54" s="194"/>
      <c r="Y54" s="26"/>
      <c r="Z54" s="2020"/>
      <c r="AA54" s="1714"/>
      <c r="AB54" s="1928"/>
      <c r="AC54" s="2042"/>
      <c r="AD54" s="27"/>
      <c r="AE54" s="115"/>
      <c r="AG54" s="2020"/>
      <c r="AH54" s="162"/>
      <c r="AI54" s="27"/>
      <c r="AJ54" s="2044"/>
      <c r="AK54" s="1794"/>
      <c r="AL54" s="47"/>
      <c r="AM54" s="47"/>
      <c r="AN54" s="2045"/>
      <c r="AO54" s="26"/>
    </row>
    <row r="55" spans="1:59" ht="15" customHeight="1">
      <c r="D55" s="2025"/>
      <c r="E55" s="2024"/>
      <c r="F55" s="2027"/>
      <c r="G55" s="2028"/>
      <c r="H55" s="2026"/>
      <c r="I55" s="1948"/>
      <c r="J55" s="1928"/>
      <c r="K55" s="1996"/>
      <c r="L55" s="1959"/>
      <c r="M55" s="1928"/>
      <c r="N55" s="1959"/>
      <c r="O55" s="14"/>
      <c r="P55" s="1086"/>
      <c r="Q55" s="14"/>
      <c r="R55" s="26"/>
      <c r="S55" s="2020"/>
      <c r="T55" s="1928"/>
      <c r="U55" s="1737"/>
      <c r="V55" s="1971"/>
      <c r="W55" s="194"/>
      <c r="Y55" s="26"/>
      <c r="Z55" s="2020"/>
      <c r="AA55" s="1714"/>
      <c r="AB55" s="1928"/>
      <c r="AC55" s="2042"/>
      <c r="AD55" s="27"/>
      <c r="AE55" s="115"/>
      <c r="AG55" s="2020"/>
      <c r="AH55" s="162"/>
      <c r="AI55" s="27"/>
      <c r="AJ55" s="2044"/>
      <c r="AK55" s="1794"/>
      <c r="AL55" s="47"/>
      <c r="AM55" s="47"/>
      <c r="AN55" s="2045"/>
      <c r="AO55" s="26"/>
    </row>
    <row r="56" spans="1:59" ht="15" customHeight="1">
      <c r="D56" s="2025"/>
      <c r="E56" s="2024"/>
      <c r="F56" s="2027"/>
      <c r="G56" s="2028"/>
      <c r="H56" s="2026"/>
      <c r="I56" s="1948"/>
      <c r="J56" s="1928"/>
      <c r="K56" s="1996"/>
      <c r="L56" s="1959"/>
      <c r="M56" s="1928"/>
      <c r="N56" s="1959"/>
      <c r="O56" s="14"/>
      <c r="P56" s="1086"/>
      <c r="Q56" s="14"/>
      <c r="R56" s="26"/>
      <c r="S56" s="2020"/>
      <c r="T56" s="1928"/>
      <c r="U56" s="1737"/>
      <c r="V56" s="1971"/>
      <c r="W56" s="194"/>
      <c r="Y56" s="26"/>
      <c r="Z56" s="2020"/>
      <c r="AA56" s="1714"/>
      <c r="AB56" s="1928"/>
      <c r="AC56" s="2042"/>
      <c r="AD56" s="27"/>
      <c r="AE56" s="115"/>
      <c r="AG56" s="2020"/>
      <c r="AH56" s="162"/>
      <c r="AI56" s="27"/>
      <c r="AJ56" s="2044"/>
      <c r="AK56" s="1794"/>
      <c r="AL56" s="47"/>
      <c r="AM56" s="47"/>
      <c r="AN56" s="2045"/>
      <c r="AO56" s="26"/>
    </row>
    <row r="57" spans="1:59" ht="15" customHeight="1">
      <c r="D57" s="2025"/>
      <c r="E57" s="2024"/>
      <c r="F57" s="2027"/>
      <c r="G57" s="2028"/>
      <c r="H57" s="2026"/>
      <c r="I57" s="1948"/>
      <c r="J57" s="1928"/>
      <c r="K57" s="1996"/>
      <c r="L57" s="1959"/>
      <c r="M57" s="1928"/>
      <c r="N57" s="1959"/>
      <c r="O57" s="14"/>
      <c r="P57" s="1086"/>
      <c r="Q57" s="14"/>
      <c r="R57" s="26"/>
      <c r="S57" s="2020"/>
      <c r="T57" s="1928"/>
      <c r="U57" s="1737"/>
      <c r="V57" s="1971"/>
      <c r="W57" s="194"/>
      <c r="Y57" s="26"/>
      <c r="Z57" s="2020"/>
      <c r="AA57" s="1714"/>
      <c r="AB57" s="1928"/>
      <c r="AC57" s="2042"/>
      <c r="AD57" s="27"/>
      <c r="AE57" s="115"/>
      <c r="AG57" s="2020"/>
      <c r="AH57" s="162"/>
      <c r="AI57" s="27"/>
      <c r="AJ57" s="2044"/>
      <c r="AK57" s="1794"/>
      <c r="AL57" s="47"/>
      <c r="AM57" s="47"/>
      <c r="AN57" s="2045"/>
      <c r="AO57" s="26"/>
      <c r="AV57" s="510" t="s">
        <v>105</v>
      </c>
    </row>
    <row r="58" spans="1:59" ht="15" customHeight="1">
      <c r="D58" s="2025"/>
      <c r="E58" s="2024"/>
      <c r="F58" s="2027"/>
      <c r="G58" s="2028"/>
      <c r="H58" s="2026"/>
      <c r="I58" s="1948"/>
      <c r="J58" s="1928"/>
      <c r="K58" s="1996"/>
      <c r="L58" s="1959"/>
      <c r="M58" s="1928"/>
      <c r="N58" s="1959"/>
      <c r="O58" s="14"/>
      <c r="P58" s="1086"/>
      <c r="Q58" s="14"/>
      <c r="R58" s="26"/>
      <c r="S58" s="2020"/>
      <c r="T58" s="1928"/>
      <c r="U58" s="1737"/>
      <c r="V58" s="1971"/>
      <c r="W58" s="194"/>
      <c r="Y58" s="26"/>
      <c r="Z58" s="2020"/>
      <c r="AA58" s="1714"/>
      <c r="AB58" s="1928"/>
      <c r="AC58" s="2042"/>
      <c r="AD58" s="27"/>
      <c r="AE58" s="115"/>
      <c r="AG58" s="2020"/>
      <c r="AH58" s="162"/>
      <c r="AI58" s="27"/>
      <c r="AJ58" s="2044"/>
      <c r="AK58" s="1794"/>
      <c r="AL58" s="47"/>
      <c r="AM58" s="47"/>
      <c r="AN58" s="2045"/>
      <c r="AO58" s="26"/>
    </row>
    <row r="59" spans="1:59" ht="15" customHeight="1">
      <c r="D59" s="2025"/>
      <c r="E59" s="2024"/>
      <c r="F59" s="2027"/>
      <c r="G59" s="2028"/>
      <c r="H59" s="2026"/>
      <c r="I59" s="1948"/>
      <c r="J59" s="1928"/>
      <c r="K59" s="1996"/>
      <c r="L59" s="1959"/>
      <c r="M59" s="1928"/>
      <c r="N59" s="1959"/>
      <c r="O59" s="14"/>
      <c r="P59" s="1086"/>
      <c r="Q59" s="14"/>
      <c r="R59" s="26"/>
      <c r="S59" s="2020"/>
      <c r="T59" s="1928"/>
      <c r="U59" s="1737"/>
      <c r="V59" s="1971"/>
      <c r="W59" s="194"/>
      <c r="Y59" s="26"/>
      <c r="Z59" s="2020"/>
      <c r="AA59" s="1714"/>
      <c r="AB59" s="1928"/>
      <c r="AC59" s="2042"/>
      <c r="AD59" s="27"/>
      <c r="AE59" s="115"/>
      <c r="AG59" s="2020"/>
      <c r="AH59" s="162"/>
      <c r="AI59" s="27"/>
      <c r="AJ59" s="2044"/>
      <c r="AK59" s="1794"/>
      <c r="AL59" s="47"/>
      <c r="AM59" s="47"/>
      <c r="AN59" s="2045"/>
      <c r="AO59" s="26"/>
    </row>
    <row r="60" spans="1:59" ht="15" customHeight="1">
      <c r="D60" s="2025"/>
      <c r="E60" s="2024"/>
      <c r="F60" s="2027"/>
      <c r="G60" s="2028"/>
      <c r="H60" s="2026"/>
      <c r="I60" s="1948"/>
      <c r="J60" s="1928"/>
      <c r="K60" s="1996"/>
      <c r="L60" s="1959"/>
      <c r="M60" s="1928"/>
      <c r="N60" s="1959"/>
      <c r="O60" s="14"/>
      <c r="P60" s="1086"/>
      <c r="Q60" s="14"/>
      <c r="R60" s="26"/>
      <c r="S60" s="2020"/>
      <c r="T60" s="1928"/>
      <c r="U60" s="1737"/>
      <c r="V60" s="1971"/>
      <c r="W60" s="194"/>
      <c r="Y60" s="26"/>
      <c r="Z60" s="2020"/>
      <c r="AA60" s="1714"/>
      <c r="AB60" s="1928"/>
      <c r="AC60" s="2042"/>
      <c r="AD60" s="27"/>
      <c r="AE60" s="115"/>
      <c r="AG60" s="2020"/>
      <c r="AH60" s="162"/>
      <c r="AI60" s="27"/>
      <c r="AJ60" s="2044"/>
      <c r="AK60" s="1794"/>
      <c r="AL60" s="47"/>
      <c r="AM60" s="47"/>
      <c r="AN60" s="2045"/>
      <c r="AO60" s="26"/>
      <c r="AU60" s="510" t="s">
        <v>105</v>
      </c>
    </row>
    <row r="61" spans="1:59" ht="15" customHeight="1">
      <c r="D61" s="2025"/>
      <c r="E61" s="2024"/>
      <c r="F61" s="2027"/>
      <c r="G61" s="2028"/>
      <c r="H61" s="2026"/>
      <c r="I61" s="1948"/>
      <c r="J61" s="1928"/>
      <c r="K61" s="1996"/>
      <c r="L61" s="1959"/>
      <c r="M61" s="1928"/>
      <c r="N61" s="1959"/>
      <c r="O61" s="14"/>
      <c r="P61" s="1086"/>
      <c r="Q61" s="14"/>
      <c r="R61" s="26"/>
      <c r="S61" s="2020"/>
      <c r="T61" s="1928"/>
      <c r="U61" s="1737"/>
      <c r="V61" s="1971"/>
      <c r="W61" s="194"/>
      <c r="Y61" s="26"/>
      <c r="Z61" s="2020"/>
      <c r="AA61" s="1714"/>
      <c r="AB61" s="1928"/>
      <c r="AC61" s="2042"/>
      <c r="AD61" s="27"/>
      <c r="AE61" s="115"/>
      <c r="AG61" s="2020"/>
      <c r="AH61" s="162"/>
      <c r="AI61" s="27"/>
      <c r="AJ61" s="2044"/>
      <c r="AK61" s="1794"/>
      <c r="AL61" s="47"/>
      <c r="AM61" s="47"/>
      <c r="AN61" s="2045"/>
      <c r="AO61" s="26"/>
    </row>
    <row r="62" spans="1:59" ht="133" customHeight="1">
      <c r="D62" s="2025"/>
      <c r="E62" s="2024"/>
      <c r="F62" s="2027"/>
      <c r="G62" s="2028"/>
      <c r="H62" s="2026"/>
      <c r="I62" s="1948"/>
      <c r="J62" s="1928"/>
      <c r="K62" s="1996"/>
      <c r="L62" s="1959"/>
      <c r="M62" s="1928"/>
      <c r="N62" s="1959"/>
      <c r="O62" s="14"/>
      <c r="P62" s="14"/>
      <c r="Q62" s="14"/>
      <c r="R62" s="26"/>
      <c r="S62" s="2020"/>
      <c r="T62" s="1928"/>
      <c r="U62" s="1737"/>
      <c r="V62" s="1971"/>
      <c r="Y62" s="26"/>
      <c r="Z62" s="2020"/>
      <c r="AA62" s="1714"/>
      <c r="AB62" s="1928"/>
      <c r="AC62" s="2042"/>
      <c r="AD62" s="27"/>
      <c r="AE62" s="115"/>
      <c r="AG62" s="2020"/>
      <c r="AH62" s="162"/>
      <c r="AI62" s="27"/>
      <c r="AJ62" s="2044"/>
      <c r="AK62" s="1794"/>
      <c r="AN62" s="2045"/>
      <c r="AO62" s="26"/>
      <c r="AV62" s="510" t="s">
        <v>105</v>
      </c>
    </row>
    <row r="63" spans="1:59">
      <c r="D63" s="20"/>
      <c r="J63" s="1928"/>
      <c r="T63" s="1928"/>
      <c r="AV63" s="510" t="s">
        <v>105</v>
      </c>
    </row>
    <row r="64" spans="1:59">
      <c r="B64" s="10"/>
    </row>
    <row r="65" spans="1:58" ht="30" customHeight="1">
      <c r="B65" s="597" t="s">
        <v>101</v>
      </c>
      <c r="C65" s="504" t="s">
        <v>35</v>
      </c>
      <c r="D65" s="2022" t="s">
        <v>168</v>
      </c>
      <c r="E65" s="2022"/>
      <c r="F65" s="2022"/>
      <c r="G65" s="2022"/>
      <c r="H65" s="2022"/>
      <c r="I65" s="2023"/>
      <c r="J65" s="1983" t="s">
        <v>645</v>
      </c>
      <c r="K65" s="1984"/>
      <c r="L65" s="1985"/>
      <c r="M65" s="1985"/>
      <c r="N65" s="1985"/>
      <c r="O65" s="1985"/>
      <c r="P65" s="1986"/>
      <c r="Q65" s="1985"/>
      <c r="R65" s="1991" t="s">
        <v>646</v>
      </c>
      <c r="S65" s="1992"/>
      <c r="T65" s="2017" t="s">
        <v>647</v>
      </c>
      <c r="U65" s="2018"/>
      <c r="V65" s="2018"/>
      <c r="W65" s="2018"/>
      <c r="X65" s="2018"/>
      <c r="Y65" s="1993" t="s">
        <v>648</v>
      </c>
      <c r="Z65" s="1994"/>
      <c r="AA65" s="178"/>
      <c r="AB65" s="178"/>
      <c r="AC65" s="1922" t="s">
        <v>162</v>
      </c>
      <c r="AD65" s="1923"/>
      <c r="AE65" s="1923"/>
      <c r="AF65" s="1926" t="s">
        <v>649</v>
      </c>
      <c r="AG65" s="1927"/>
      <c r="AH65" s="462"/>
      <c r="AI65" s="1106"/>
      <c r="AJ65" s="2038" t="s">
        <v>167</v>
      </c>
      <c r="AK65" s="2039"/>
      <c r="AL65" s="2039"/>
      <c r="AM65" s="2039"/>
      <c r="AN65" s="2040"/>
      <c r="AO65" s="463"/>
      <c r="AP65" s="485"/>
      <c r="AQ65" s="464"/>
      <c r="AR65" s="464"/>
      <c r="AS65" s="464"/>
      <c r="AT65" s="465"/>
      <c r="AU65" s="464"/>
    </row>
    <row r="66" spans="1:58">
      <c r="C66" s="505"/>
      <c r="D66" s="466">
        <v>1</v>
      </c>
      <c r="E66" s="466">
        <v>2</v>
      </c>
      <c r="F66" s="466">
        <v>3</v>
      </c>
      <c r="G66" s="466">
        <v>4</v>
      </c>
      <c r="H66" s="466">
        <v>5</v>
      </c>
      <c r="I66" s="466">
        <v>6</v>
      </c>
      <c r="J66" s="1519">
        <v>7</v>
      </c>
      <c r="K66" s="466">
        <v>8</v>
      </c>
      <c r="L66" s="466">
        <v>9</v>
      </c>
      <c r="M66" s="466">
        <v>10</v>
      </c>
      <c r="N66" s="466">
        <v>11</v>
      </c>
      <c r="O66" s="466">
        <v>12</v>
      </c>
      <c r="P66" s="466">
        <v>13</v>
      </c>
      <c r="Q66" s="466">
        <v>14</v>
      </c>
      <c r="R66" s="1005">
        <f>Q66+1</f>
        <v>15</v>
      </c>
      <c r="S66" s="1007">
        <f>R66+1</f>
        <v>16</v>
      </c>
      <c r="T66" s="466">
        <v>17</v>
      </c>
      <c r="U66" s="466">
        <v>18</v>
      </c>
      <c r="V66" s="466">
        <v>19</v>
      </c>
      <c r="W66" s="466">
        <v>20</v>
      </c>
      <c r="X66" s="466">
        <v>21</v>
      </c>
      <c r="Y66" s="137">
        <f t="shared" ref="Y66" si="77">X66+1</f>
        <v>22</v>
      </c>
      <c r="Z66" s="137">
        <f t="shared" ref="Z66" si="78">Y66+1</f>
        <v>23</v>
      </c>
      <c r="AA66" s="466">
        <v>24</v>
      </c>
      <c r="AB66" s="467">
        <v>25</v>
      </c>
      <c r="AC66" s="466">
        <v>26</v>
      </c>
      <c r="AD66" s="466">
        <v>27</v>
      </c>
      <c r="AE66" s="466">
        <v>28</v>
      </c>
      <c r="AF66" s="1084">
        <v>29</v>
      </c>
      <c r="AG66" s="1085">
        <v>30</v>
      </c>
      <c r="AH66" s="467">
        <v>31</v>
      </c>
      <c r="AI66" s="50">
        <f t="shared" ref="AI66:AO66" si="79">AH66+1</f>
        <v>32</v>
      </c>
      <c r="AJ66" s="50">
        <f t="shared" si="79"/>
        <v>33</v>
      </c>
      <c r="AK66" s="50">
        <f t="shared" si="79"/>
        <v>34</v>
      </c>
      <c r="AL66" s="50">
        <f t="shared" si="79"/>
        <v>35</v>
      </c>
      <c r="AM66" s="1076">
        <f t="shared" si="79"/>
        <v>36</v>
      </c>
      <c r="AN66" s="1076">
        <f t="shared" si="79"/>
        <v>37</v>
      </c>
      <c r="AO66" s="1076">
        <f t="shared" si="79"/>
        <v>38</v>
      </c>
      <c r="AP66" s="486"/>
      <c r="AQ66" s="459"/>
      <c r="AR66" s="466"/>
      <c r="AS66" s="466"/>
      <c r="AT66" s="468"/>
      <c r="AU66" s="466"/>
    </row>
    <row r="67" spans="1:58" ht="169">
      <c r="C67" s="1489" t="s">
        <v>1131</v>
      </c>
      <c r="D67" s="1234" t="s">
        <v>482</v>
      </c>
      <c r="E67" s="1236" t="s">
        <v>483</v>
      </c>
      <c r="F67" s="1236" t="s">
        <v>246</v>
      </c>
      <c r="G67" s="1236" t="s">
        <v>234</v>
      </c>
      <c r="H67" s="805" t="s">
        <v>247</v>
      </c>
      <c r="I67" s="1002" t="s">
        <v>248</v>
      </c>
      <c r="J67" s="1488" t="s">
        <v>484</v>
      </c>
      <c r="K67" s="1488" t="s">
        <v>527</v>
      </c>
      <c r="L67" s="1488" t="s">
        <v>528</v>
      </c>
      <c r="M67" s="1488" t="s">
        <v>529</v>
      </c>
      <c r="N67" s="1488" t="s">
        <v>531</v>
      </c>
      <c r="O67" s="1488" t="s">
        <v>532</v>
      </c>
      <c r="P67" s="1488" t="s">
        <v>533</v>
      </c>
      <c r="Q67" s="1501" t="s">
        <v>492</v>
      </c>
      <c r="R67" s="213" t="s">
        <v>455</v>
      </c>
      <c r="S67" s="400" t="s">
        <v>456</v>
      </c>
      <c r="T67" s="872" t="s">
        <v>1138</v>
      </c>
      <c r="U67" s="872" t="s">
        <v>536</v>
      </c>
      <c r="V67" s="872" t="s">
        <v>537</v>
      </c>
      <c r="W67" s="872" t="s">
        <v>538</v>
      </c>
      <c r="X67" s="1020" t="s">
        <v>494</v>
      </c>
      <c r="Y67" s="521" t="s">
        <v>995</v>
      </c>
      <c r="Z67" s="599" t="s">
        <v>996</v>
      </c>
      <c r="AA67" s="1010" t="s">
        <v>265</v>
      </c>
      <c r="AB67" s="1010" t="s">
        <v>266</v>
      </c>
      <c r="AC67" s="1234" t="s">
        <v>477</v>
      </c>
      <c r="AD67" s="1045" t="s">
        <v>369</v>
      </c>
      <c r="AE67" s="1088" t="s">
        <v>478</v>
      </c>
      <c r="AF67" s="605" t="s">
        <v>350</v>
      </c>
      <c r="AG67" s="187" t="s">
        <v>1104</v>
      </c>
      <c r="AH67" s="1088" t="s">
        <v>271</v>
      </c>
      <c r="AI67" s="1240" t="s">
        <v>808</v>
      </c>
      <c r="AJ67" s="1264" t="s">
        <v>809</v>
      </c>
      <c r="AK67" s="1364" t="s">
        <v>14</v>
      </c>
      <c r="AL67" s="1236" t="s">
        <v>1</v>
      </c>
      <c r="AM67" s="1010" t="s">
        <v>810</v>
      </c>
      <c r="AN67" s="1002" t="s">
        <v>746</v>
      </c>
      <c r="AO67" s="469" t="s">
        <v>272</v>
      </c>
      <c r="AP67" s="487"/>
      <c r="AQ67" s="1489" t="s">
        <v>1141</v>
      </c>
      <c r="AR67" s="805" t="s">
        <v>357</v>
      </c>
      <c r="AS67" s="988" t="s">
        <v>273</v>
      </c>
      <c r="AT67" s="806" t="s">
        <v>567</v>
      </c>
      <c r="AU67" s="1008" t="s">
        <v>811</v>
      </c>
      <c r="AV67" s="1008" t="s">
        <v>745</v>
      </c>
      <c r="AW67" s="1364" t="s">
        <v>1099</v>
      </c>
      <c r="BE67" s="1149" t="s">
        <v>822</v>
      </c>
      <c r="BF67" s="1472"/>
    </row>
    <row r="68" spans="1:58">
      <c r="A68" s="936">
        <f>A52+1</f>
        <v>22</v>
      </c>
      <c r="B68" s="907">
        <f>B52+1</f>
        <v>22</v>
      </c>
      <c r="C68" s="476" t="s">
        <v>62</v>
      </c>
      <c r="D68" s="1513">
        <v>236</v>
      </c>
      <c r="E68" s="1514">
        <f>2*D68</f>
        <v>472</v>
      </c>
      <c r="F68" s="1514">
        <f>2*258</f>
        <v>516</v>
      </c>
      <c r="G68" s="1514">
        <f>1.15*F68</f>
        <v>593.4</v>
      </c>
      <c r="H68" s="1082">
        <f>0.23*E68</f>
        <v>108.56</v>
      </c>
      <c r="I68" s="1083">
        <f>0.5*(H68*1.1)</f>
        <v>59.708000000000006</v>
      </c>
      <c r="J68" s="1205">
        <v>152</v>
      </c>
      <c r="K68" s="1205">
        <v>15</v>
      </c>
      <c r="L68" s="1205">
        <f>188-41</f>
        <v>147</v>
      </c>
      <c r="M68" s="1205">
        <v>15</v>
      </c>
      <c r="N68" s="1205">
        <v>0</v>
      </c>
      <c r="O68" s="1205">
        <v>0</v>
      </c>
      <c r="P68" s="1205">
        <v>125</v>
      </c>
      <c r="Q68" s="1205">
        <f>SUM(J68:P68)</f>
        <v>454</v>
      </c>
      <c r="R68" s="508">
        <f>2*Q68</f>
        <v>908</v>
      </c>
      <c r="S68" s="500">
        <f t="shared" ref="S68:S72" si="80">R68+(2*71)</f>
        <v>1050</v>
      </c>
      <c r="T68" s="779">
        <v>23</v>
      </c>
      <c r="U68" s="779">
        <v>93</v>
      </c>
      <c r="V68" s="756">
        <v>0</v>
      </c>
      <c r="W68" s="756">
        <v>14</v>
      </c>
      <c r="X68" s="756">
        <f>SUM(T68:W68)</f>
        <v>130</v>
      </c>
      <c r="Y68" s="529">
        <f>2*X68</f>
        <v>260</v>
      </c>
      <c r="Z68" s="520">
        <f>Y68+(23)</f>
        <v>283</v>
      </c>
      <c r="AA68" s="871">
        <f>Z68-H68</f>
        <v>174.44</v>
      </c>
      <c r="AB68" s="871">
        <f>Z68-I68</f>
        <v>223.292</v>
      </c>
      <c r="AC68" s="497">
        <f>466-48</f>
        <v>418</v>
      </c>
      <c r="AD68" s="770">
        <f t="shared" ref="AD68:AD72" si="81">33.89+(AC68*0.2095)</f>
        <v>121.461</v>
      </c>
      <c r="AE68" s="772">
        <f>X68-U68+AD68</f>
        <v>158.46100000000001</v>
      </c>
      <c r="AF68" s="503">
        <f>2*AE68</f>
        <v>316.92200000000003</v>
      </c>
      <c r="AG68" s="502">
        <f>AF68+(23)</f>
        <v>339.92200000000003</v>
      </c>
      <c r="AH68" s="760">
        <f>AG68-I68</f>
        <v>280.214</v>
      </c>
      <c r="AI68" s="1261" t="s">
        <v>804</v>
      </c>
      <c r="AJ68" s="1213">
        <v>337</v>
      </c>
      <c r="AK68" s="1261">
        <f>(2*AJ68)+(2*71)+(2*45)</f>
        <v>906</v>
      </c>
      <c r="AL68" s="1516">
        <f>S68-AK68</f>
        <v>144</v>
      </c>
      <c r="AM68" s="624">
        <v>31</v>
      </c>
      <c r="AN68" s="482">
        <f>746+(1*23)+AM68</f>
        <v>800</v>
      </c>
      <c r="AO68" s="474">
        <f>Z68-AN68</f>
        <v>-517</v>
      </c>
      <c r="AP68" s="483"/>
      <c r="AQ68" s="476" t="s">
        <v>125</v>
      </c>
      <c r="AR68" s="276">
        <f>H68</f>
        <v>108.56</v>
      </c>
      <c r="AS68" s="261">
        <f>Z68</f>
        <v>283</v>
      </c>
      <c r="AT68" s="261">
        <f>AN68</f>
        <v>800</v>
      </c>
      <c r="AU68" s="804">
        <f t="shared" ref="AU68:AU72" si="82">S68-G68</f>
        <v>456.6</v>
      </c>
      <c r="AV68" s="343">
        <f t="shared" ref="AV68" si="83">S68-AK68</f>
        <v>144</v>
      </c>
      <c r="AW68" s="1505">
        <f>(L68+K68)/S68</f>
        <v>0.15428571428571428</v>
      </c>
      <c r="BE68" s="1145">
        <f>B68</f>
        <v>22</v>
      </c>
      <c r="BF68" s="199"/>
    </row>
    <row r="69" spans="1:58">
      <c r="A69" s="936">
        <f>A68+1</f>
        <v>23</v>
      </c>
      <c r="B69" s="907">
        <f>B68+1</f>
        <v>23</v>
      </c>
      <c r="C69" s="476" t="s">
        <v>63</v>
      </c>
      <c r="D69" s="1513">
        <v>315</v>
      </c>
      <c r="E69" s="1514">
        <f>2*D69</f>
        <v>630</v>
      </c>
      <c r="F69" s="1514">
        <f>2*331</f>
        <v>662</v>
      </c>
      <c r="G69" s="1514">
        <f>1.15*F69</f>
        <v>761.3</v>
      </c>
      <c r="H69" s="1082">
        <f t="shared" ref="H69:H72" si="84">0.23*E69</f>
        <v>144.9</v>
      </c>
      <c r="I69" s="1083">
        <f>0.5*(H69*1.1)</f>
        <v>79.695000000000007</v>
      </c>
      <c r="J69" s="1205">
        <v>152</v>
      </c>
      <c r="K69" s="1205">
        <v>15</v>
      </c>
      <c r="L69" s="1205">
        <v>66</v>
      </c>
      <c r="M69" s="1205">
        <v>15</v>
      </c>
      <c r="N69" s="1205">
        <v>200</v>
      </c>
      <c r="O69" s="1205">
        <v>15</v>
      </c>
      <c r="P69" s="1205">
        <v>160</v>
      </c>
      <c r="Q69" s="1205">
        <f t="shared" ref="Q69:Q72" si="85">SUM(J69:P69)</f>
        <v>623</v>
      </c>
      <c r="R69" s="508">
        <f>2*Q69</f>
        <v>1246</v>
      </c>
      <c r="S69" s="500">
        <f t="shared" si="80"/>
        <v>1388</v>
      </c>
      <c r="T69" s="779">
        <v>23</v>
      </c>
      <c r="U69" s="779">
        <v>59</v>
      </c>
      <c r="V69" s="756">
        <v>10</v>
      </c>
      <c r="W69" s="756">
        <v>34</v>
      </c>
      <c r="X69" s="756">
        <f>SUM(T69:W69)</f>
        <v>126</v>
      </c>
      <c r="Y69" s="529">
        <f>2*X69</f>
        <v>252</v>
      </c>
      <c r="Z69" s="520">
        <f>Y69+(23)</f>
        <v>275</v>
      </c>
      <c r="AA69" s="871">
        <f>Z69-H69</f>
        <v>130.1</v>
      </c>
      <c r="AB69" s="871">
        <f>Z69-I69</f>
        <v>195.30500000000001</v>
      </c>
      <c r="AC69" s="559">
        <f>(199-48)+59</f>
        <v>210</v>
      </c>
      <c r="AD69" s="770">
        <f t="shared" si="81"/>
        <v>77.884999999999991</v>
      </c>
      <c r="AE69" s="772">
        <f>X69-U69+AD69</f>
        <v>144.88499999999999</v>
      </c>
      <c r="AF69" s="503">
        <f>2*AE69</f>
        <v>289.77</v>
      </c>
      <c r="AG69" s="502">
        <f>AF69+(23)</f>
        <v>312.77</v>
      </c>
      <c r="AH69" s="760">
        <f>AG69-I69</f>
        <v>233.07499999999999</v>
      </c>
      <c r="AI69" s="1261" t="s">
        <v>805</v>
      </c>
      <c r="AJ69" s="1213">
        <v>540</v>
      </c>
      <c r="AK69" s="1516">
        <f>(2*AJ69)+(2*71)+(2*45)</f>
        <v>1312</v>
      </c>
      <c r="AL69" s="1516">
        <f>S69-AK69</f>
        <v>76</v>
      </c>
      <c r="AM69" s="624">
        <v>31</v>
      </c>
      <c r="AN69" s="482">
        <f>672+(1*23)+AM69</f>
        <v>726</v>
      </c>
      <c r="AO69" s="474">
        <f>Z69-AN69</f>
        <v>-451</v>
      </c>
      <c r="AP69" s="483"/>
      <c r="AQ69" s="476" t="s">
        <v>124</v>
      </c>
      <c r="AR69" s="276">
        <f t="shared" ref="AR69:AR72" si="86">H69</f>
        <v>144.9</v>
      </c>
      <c r="AS69" s="261">
        <f t="shared" ref="AS69:AS72" si="87">Z69</f>
        <v>275</v>
      </c>
      <c r="AT69" s="261">
        <f t="shared" ref="AT69:AT72" si="88">AN69</f>
        <v>726</v>
      </c>
      <c r="AU69" s="804">
        <f t="shared" si="82"/>
        <v>626.70000000000005</v>
      </c>
      <c r="AV69" s="343">
        <f t="shared" ref="AV69:AV72" si="89">S69-AK69</f>
        <v>76</v>
      </c>
      <c r="AW69" s="1505">
        <f t="shared" ref="AW69:AW72" si="90">(L69+K69)/S69</f>
        <v>5.8357348703170026E-2</v>
      </c>
      <c r="BE69" s="1145">
        <f t="shared" ref="BE69:BE72" si="91">B69</f>
        <v>23</v>
      </c>
      <c r="BF69" s="199"/>
    </row>
    <row r="70" spans="1:58">
      <c r="A70" s="936">
        <f t="shared" ref="A70:A72" si="92">A69+1</f>
        <v>24</v>
      </c>
      <c r="B70" s="907">
        <f>B69+1</f>
        <v>24</v>
      </c>
      <c r="C70" s="476" t="s">
        <v>64</v>
      </c>
      <c r="D70" s="1513">
        <v>286</v>
      </c>
      <c r="E70" s="1514">
        <f>2*D70</f>
        <v>572</v>
      </c>
      <c r="F70" s="1514">
        <f>2*319</f>
        <v>638</v>
      </c>
      <c r="G70" s="1514">
        <f>1.15*F70</f>
        <v>733.69999999999993</v>
      </c>
      <c r="H70" s="1082">
        <f t="shared" si="84"/>
        <v>131.56</v>
      </c>
      <c r="I70" s="1083">
        <f>0.5*(H70*1.1)</f>
        <v>72.358000000000004</v>
      </c>
      <c r="J70" s="1205">
        <v>152</v>
      </c>
      <c r="K70" s="1205">
        <v>15</v>
      </c>
      <c r="L70" s="1205">
        <v>66</v>
      </c>
      <c r="M70" s="1205">
        <v>15</v>
      </c>
      <c r="N70" s="1205">
        <v>200</v>
      </c>
      <c r="O70" s="1205">
        <v>15</v>
      </c>
      <c r="P70" s="1205">
        <v>155</v>
      </c>
      <c r="Q70" s="1205">
        <f t="shared" si="85"/>
        <v>618</v>
      </c>
      <c r="R70" s="508">
        <f>2*Q70</f>
        <v>1236</v>
      </c>
      <c r="S70" s="500">
        <f t="shared" si="80"/>
        <v>1378</v>
      </c>
      <c r="T70" s="779">
        <v>23</v>
      </c>
      <c r="U70" s="779">
        <v>59</v>
      </c>
      <c r="V70" s="756">
        <v>10</v>
      </c>
      <c r="W70" s="756">
        <v>30</v>
      </c>
      <c r="X70" s="756">
        <f>SUM(T70:W70)</f>
        <v>122</v>
      </c>
      <c r="Y70" s="529">
        <f>2*X70</f>
        <v>244</v>
      </c>
      <c r="Z70" s="520">
        <f>Y70+(23)</f>
        <v>267</v>
      </c>
      <c r="AA70" s="871">
        <f>Z70-H70</f>
        <v>135.44</v>
      </c>
      <c r="AB70" s="871">
        <f>Z70-I70</f>
        <v>194.642</v>
      </c>
      <c r="AC70" s="497">
        <f>(199-48) +59</f>
        <v>210</v>
      </c>
      <c r="AD70" s="770">
        <f t="shared" si="81"/>
        <v>77.884999999999991</v>
      </c>
      <c r="AE70" s="772">
        <f>X70-U70+AD70</f>
        <v>140.88499999999999</v>
      </c>
      <c r="AF70" s="503">
        <f>2*AE70</f>
        <v>281.77</v>
      </c>
      <c r="AG70" s="502">
        <f>AF70+(23)</f>
        <v>304.77</v>
      </c>
      <c r="AH70" s="760">
        <f>AG70-I70</f>
        <v>232.41199999999998</v>
      </c>
      <c r="AI70" s="1261" t="s">
        <v>800</v>
      </c>
      <c r="AJ70" s="1213">
        <v>60</v>
      </c>
      <c r="AK70" s="1261">
        <f>(2*AJ70)+(2*71)+(2*45)</f>
        <v>352</v>
      </c>
      <c r="AL70" s="1516">
        <f>S70-AK70</f>
        <v>1026</v>
      </c>
      <c r="AM70" s="624">
        <f>31+31</f>
        <v>62</v>
      </c>
      <c r="AN70" s="482">
        <f>213+(1*23)+AM70</f>
        <v>298</v>
      </c>
      <c r="AO70" s="474">
        <f>Z70-AN70</f>
        <v>-31</v>
      </c>
      <c r="AP70" s="483"/>
      <c r="AQ70" s="476" t="s">
        <v>123</v>
      </c>
      <c r="AR70" s="276">
        <f t="shared" si="86"/>
        <v>131.56</v>
      </c>
      <c r="AS70" s="261">
        <f t="shared" si="87"/>
        <v>267</v>
      </c>
      <c r="AT70" s="261">
        <f t="shared" si="88"/>
        <v>298</v>
      </c>
      <c r="AU70" s="804">
        <f t="shared" si="82"/>
        <v>644.30000000000007</v>
      </c>
      <c r="AV70" s="343">
        <f t="shared" si="89"/>
        <v>1026</v>
      </c>
      <c r="AW70" s="1505">
        <f t="shared" si="90"/>
        <v>5.8780841799709722E-2</v>
      </c>
      <c r="BE70" s="1145">
        <f t="shared" si="91"/>
        <v>24</v>
      </c>
      <c r="BF70" s="199"/>
    </row>
    <row r="71" spans="1:58">
      <c r="A71" s="936">
        <f t="shared" si="92"/>
        <v>25</v>
      </c>
      <c r="B71" s="907">
        <f>B70+1</f>
        <v>25</v>
      </c>
      <c r="C71" s="476" t="s">
        <v>65</v>
      </c>
      <c r="D71" s="1518">
        <v>522</v>
      </c>
      <c r="E71" s="1514">
        <f>2*D71</f>
        <v>1044</v>
      </c>
      <c r="F71" s="1206">
        <f>2*472</f>
        <v>944</v>
      </c>
      <c r="G71" s="1514">
        <f>1.15*F71</f>
        <v>1085.5999999999999</v>
      </c>
      <c r="H71" s="1082">
        <f t="shared" si="84"/>
        <v>240.12</v>
      </c>
      <c r="I71" s="1083">
        <f>0.5*(H71*1.1)</f>
        <v>132.066</v>
      </c>
      <c r="J71" s="1205">
        <v>125</v>
      </c>
      <c r="K71" s="1205">
        <v>15</v>
      </c>
      <c r="L71" s="1205">
        <v>142</v>
      </c>
      <c r="M71" s="1205">
        <v>15</v>
      </c>
      <c r="N71" s="1205">
        <v>200</v>
      </c>
      <c r="O71" s="1205">
        <v>15</v>
      </c>
      <c r="P71" s="1205">
        <v>160</v>
      </c>
      <c r="Q71" s="1205">
        <f t="shared" si="85"/>
        <v>672</v>
      </c>
      <c r="R71" s="508">
        <f>2*Q71</f>
        <v>1344</v>
      </c>
      <c r="S71" s="500">
        <f t="shared" si="80"/>
        <v>1486</v>
      </c>
      <c r="T71" s="779">
        <v>14</v>
      </c>
      <c r="U71" s="779">
        <v>93</v>
      </c>
      <c r="V71" s="756">
        <v>10</v>
      </c>
      <c r="W71" s="756">
        <v>34</v>
      </c>
      <c r="X71" s="756">
        <f>SUM(T71:W71)</f>
        <v>151</v>
      </c>
      <c r="Y71" s="529">
        <f>2*X71</f>
        <v>302</v>
      </c>
      <c r="Z71" s="520">
        <f>Y71+(23)</f>
        <v>325</v>
      </c>
      <c r="AA71" s="871">
        <f>Z71-H71</f>
        <v>84.88</v>
      </c>
      <c r="AB71" s="871">
        <f>Z71-I71</f>
        <v>192.934</v>
      </c>
      <c r="AC71" s="497">
        <f>(466-199)+59</f>
        <v>326</v>
      </c>
      <c r="AD71" s="770">
        <f t="shared" si="81"/>
        <v>102.187</v>
      </c>
      <c r="AE71" s="772">
        <f>X71-U71+AD71</f>
        <v>160.18700000000001</v>
      </c>
      <c r="AF71" s="503">
        <f>2*AE71</f>
        <v>320.37400000000002</v>
      </c>
      <c r="AG71" s="502">
        <f>AF71+(23)</f>
        <v>343.37400000000002</v>
      </c>
      <c r="AH71" s="760">
        <f>AG71-I71</f>
        <v>211.30800000000002</v>
      </c>
      <c r="AI71" s="1261" t="s">
        <v>806</v>
      </c>
      <c r="AJ71" s="1213">
        <v>230</v>
      </c>
      <c r="AK71" s="1261">
        <f>(2*AJ71)+(2*71)+(2*45)</f>
        <v>692</v>
      </c>
      <c r="AL71" s="1516">
        <f>S71-AK71</f>
        <v>794</v>
      </c>
      <c r="AM71" s="624" t="s">
        <v>13</v>
      </c>
      <c r="AN71" s="482">
        <f>564+(1*23)</f>
        <v>587</v>
      </c>
      <c r="AO71" s="474">
        <f>Z71-AN71</f>
        <v>-262</v>
      </c>
      <c r="AP71" s="483"/>
      <c r="AQ71" s="476" t="s">
        <v>122</v>
      </c>
      <c r="AR71" s="276">
        <f t="shared" si="86"/>
        <v>240.12</v>
      </c>
      <c r="AS71" s="261">
        <f t="shared" si="87"/>
        <v>325</v>
      </c>
      <c r="AT71" s="261">
        <f t="shared" si="88"/>
        <v>587</v>
      </c>
      <c r="AU71" s="804">
        <f t="shared" si="82"/>
        <v>400.40000000000009</v>
      </c>
      <c r="AV71" s="343">
        <f t="shared" si="89"/>
        <v>794</v>
      </c>
      <c r="AW71" s="1505">
        <f t="shared" si="90"/>
        <v>0.10565275908479138</v>
      </c>
      <c r="BE71" s="1145">
        <f t="shared" si="91"/>
        <v>25</v>
      </c>
      <c r="BF71" s="199"/>
    </row>
    <row r="72" spans="1:58">
      <c r="A72" s="936">
        <f t="shared" si="92"/>
        <v>26</v>
      </c>
      <c r="B72" s="907">
        <f>B71+1</f>
        <v>26</v>
      </c>
      <c r="C72" s="489" t="s">
        <v>66</v>
      </c>
      <c r="D72" s="1513">
        <v>487</v>
      </c>
      <c r="E72" s="1514">
        <f>2*D72</f>
        <v>974</v>
      </c>
      <c r="F72" s="1514">
        <f>2*480</f>
        <v>960</v>
      </c>
      <c r="G72" s="1514">
        <f>1.15*F72</f>
        <v>1104</v>
      </c>
      <c r="H72" s="1082">
        <f t="shared" si="84"/>
        <v>224.02</v>
      </c>
      <c r="I72" s="1083">
        <f>0.5*(H72*1.1)</f>
        <v>123.21100000000001</v>
      </c>
      <c r="J72" s="1205">
        <v>125</v>
      </c>
      <c r="K72" s="1205">
        <v>15</v>
      </c>
      <c r="L72" s="1205">
        <v>142</v>
      </c>
      <c r="M72" s="1205">
        <v>15</v>
      </c>
      <c r="N72" s="1205">
        <v>200</v>
      </c>
      <c r="O72" s="1205">
        <v>15</v>
      </c>
      <c r="P72" s="1205">
        <v>155</v>
      </c>
      <c r="Q72" s="1205">
        <f t="shared" si="85"/>
        <v>667</v>
      </c>
      <c r="R72" s="508">
        <f>2*Q72</f>
        <v>1334</v>
      </c>
      <c r="S72" s="500">
        <f t="shared" si="80"/>
        <v>1476</v>
      </c>
      <c r="T72" s="779">
        <v>14</v>
      </c>
      <c r="U72" s="779">
        <v>93</v>
      </c>
      <c r="V72" s="756">
        <v>10</v>
      </c>
      <c r="W72" s="756">
        <v>30</v>
      </c>
      <c r="X72" s="756">
        <f>SUM(T72:W72)</f>
        <v>147</v>
      </c>
      <c r="Y72" s="529">
        <f>2*X72</f>
        <v>294</v>
      </c>
      <c r="Z72" s="520">
        <f>Y72+(23)</f>
        <v>317</v>
      </c>
      <c r="AA72" s="871">
        <f>Z72-H72</f>
        <v>92.97999999999999</v>
      </c>
      <c r="AB72" s="871">
        <f>Z72-I72</f>
        <v>193.78899999999999</v>
      </c>
      <c r="AC72" s="497">
        <f>(466-199)+59</f>
        <v>326</v>
      </c>
      <c r="AD72" s="770">
        <f t="shared" si="81"/>
        <v>102.187</v>
      </c>
      <c r="AE72" s="772">
        <f>X72-U72+AD72</f>
        <v>156.18700000000001</v>
      </c>
      <c r="AF72" s="503">
        <f>2*AE72</f>
        <v>312.37400000000002</v>
      </c>
      <c r="AG72" s="502">
        <f>AF72+(23)</f>
        <v>335.37400000000002</v>
      </c>
      <c r="AH72" s="760">
        <f>AG72-I72</f>
        <v>212.16300000000001</v>
      </c>
      <c r="AI72" s="1261" t="s">
        <v>807</v>
      </c>
      <c r="AJ72" s="1213">
        <v>261</v>
      </c>
      <c r="AK72" s="1261">
        <f>(2*AJ72)+(2*71)+(2*45)</f>
        <v>754</v>
      </c>
      <c r="AL72" s="1516">
        <f>S72-AK72</f>
        <v>722</v>
      </c>
      <c r="AM72" s="624">
        <v>31</v>
      </c>
      <c r="AN72" s="482">
        <f>516+(1*23)+AM72</f>
        <v>570</v>
      </c>
      <c r="AO72" s="474">
        <f>Z72-AN72</f>
        <v>-253</v>
      </c>
      <c r="AP72" s="483"/>
      <c r="AQ72" s="489" t="s">
        <v>121</v>
      </c>
      <c r="AR72" s="276">
        <f t="shared" si="86"/>
        <v>224.02</v>
      </c>
      <c r="AS72" s="261">
        <f t="shared" si="87"/>
        <v>317</v>
      </c>
      <c r="AT72" s="261">
        <f t="shared" si="88"/>
        <v>570</v>
      </c>
      <c r="AU72" s="804">
        <f t="shared" si="82"/>
        <v>372</v>
      </c>
      <c r="AV72" s="343">
        <f t="shared" si="89"/>
        <v>722</v>
      </c>
      <c r="AW72" s="1505">
        <f t="shared" si="90"/>
        <v>0.10636856368563685</v>
      </c>
      <c r="BE72" s="1145">
        <f t="shared" si="91"/>
        <v>26</v>
      </c>
      <c r="BF72" s="199"/>
    </row>
    <row r="73" spans="1:58" ht="271" customHeight="1">
      <c r="C73" s="1390" t="s">
        <v>173</v>
      </c>
      <c r="D73" s="1817" t="s">
        <v>1132</v>
      </c>
      <c r="E73" s="1688"/>
      <c r="F73" s="1492" t="s">
        <v>1133</v>
      </c>
      <c r="G73" s="1517" t="s">
        <v>1134</v>
      </c>
      <c r="H73" s="1238" t="s">
        <v>193</v>
      </c>
      <c r="I73" s="996"/>
      <c r="J73" s="1070" t="s">
        <v>1135</v>
      </c>
      <c r="K73" s="1426" t="s">
        <v>501</v>
      </c>
      <c r="L73" s="1426" t="s">
        <v>504</v>
      </c>
      <c r="M73" s="1426" t="s">
        <v>501</v>
      </c>
      <c r="N73" s="1426" t="s">
        <v>530</v>
      </c>
      <c r="O73" s="1070" t="s">
        <v>1136</v>
      </c>
      <c r="P73" s="1028" t="s">
        <v>1137</v>
      </c>
      <c r="Q73" s="490"/>
      <c r="R73" s="479"/>
      <c r="S73" s="1498" t="s">
        <v>1128</v>
      </c>
      <c r="T73" s="1028" t="s">
        <v>1139</v>
      </c>
      <c r="U73" s="601" t="s">
        <v>525</v>
      </c>
      <c r="V73" s="783" t="s">
        <v>1140</v>
      </c>
      <c r="W73" s="783" t="s">
        <v>539</v>
      </c>
      <c r="X73" s="472"/>
      <c r="Y73" s="479"/>
      <c r="Z73" s="1498" t="s">
        <v>1129</v>
      </c>
      <c r="AA73" s="174"/>
      <c r="AB73" s="1493" t="s">
        <v>192</v>
      </c>
      <c r="AC73" s="1336" t="s">
        <v>4</v>
      </c>
      <c r="AD73" s="492"/>
      <c r="AE73" s="480"/>
      <c r="AF73" s="479"/>
      <c r="AG73" s="1498" t="s">
        <v>1129</v>
      </c>
      <c r="AH73" s="480"/>
      <c r="AI73" s="492"/>
      <c r="AJ73" s="1541" t="s">
        <v>1146</v>
      </c>
      <c r="AK73" s="1521" t="s">
        <v>15</v>
      </c>
      <c r="AL73" s="47"/>
      <c r="AM73" s="47"/>
      <c r="AN73" s="1520" t="s">
        <v>1130</v>
      </c>
      <c r="AO73" s="472"/>
      <c r="AP73" s="483"/>
      <c r="AQ73" s="472"/>
    </row>
    <row r="74" spans="1:58">
      <c r="G74" s="876"/>
      <c r="H74" s="768"/>
      <c r="I74" s="1524"/>
      <c r="J74" s="27"/>
      <c r="K74" s="27"/>
      <c r="L74" s="27"/>
      <c r="M74" s="1542"/>
      <c r="N74" s="27"/>
      <c r="O74" s="27"/>
      <c r="P74" s="68"/>
      <c r="Q74" s="27"/>
      <c r="R74" s="27"/>
      <c r="S74" s="782"/>
      <c r="T74" s="27"/>
      <c r="U74" s="902"/>
      <c r="V74" s="27"/>
      <c r="W74" s="27"/>
      <c r="X74" s="27"/>
      <c r="Y74" s="27"/>
      <c r="Z74" s="782"/>
      <c r="AA74" s="27"/>
      <c r="AB74" s="1523"/>
      <c r="AC74" s="27"/>
      <c r="AD74" s="27"/>
      <c r="AE74" s="27"/>
      <c r="AF74" s="27"/>
      <c r="AG74" s="782"/>
      <c r="AH74" s="27"/>
      <c r="AI74" s="27"/>
      <c r="AJ74" s="1522"/>
      <c r="AK74" s="1521"/>
      <c r="AL74" s="27"/>
      <c r="AM74" s="27"/>
      <c r="AN74" s="1543"/>
      <c r="AU74" s="510" t="s">
        <v>105</v>
      </c>
      <c r="AV74" s="510" t="s">
        <v>105</v>
      </c>
      <c r="AW74" s="126" t="s">
        <v>105</v>
      </c>
    </row>
    <row r="75" spans="1:58">
      <c r="G75" s="876"/>
      <c r="H75" s="768"/>
      <c r="I75" s="1524"/>
      <c r="J75" s="27"/>
      <c r="K75" s="27"/>
      <c r="L75" s="27"/>
      <c r="M75" s="1542"/>
      <c r="N75" s="27"/>
      <c r="O75" s="27"/>
      <c r="P75" s="27"/>
      <c r="Q75" s="27"/>
      <c r="R75" s="27"/>
      <c r="S75" s="782"/>
      <c r="T75" s="27"/>
      <c r="U75" s="902"/>
      <c r="V75" s="27"/>
      <c r="W75" s="27"/>
      <c r="X75" s="27"/>
      <c r="Y75" s="27"/>
      <c r="Z75" s="782"/>
      <c r="AA75" s="27"/>
      <c r="AB75" s="1523"/>
      <c r="AC75" s="27"/>
      <c r="AD75" s="27"/>
      <c r="AE75" s="27"/>
      <c r="AF75" s="27"/>
      <c r="AG75" s="782"/>
      <c r="AH75" s="27"/>
      <c r="AI75" s="27"/>
      <c r="AJ75" s="1522"/>
      <c r="AK75" s="1521"/>
      <c r="AL75" s="27"/>
      <c r="AM75" s="27"/>
      <c r="AN75" s="1543"/>
      <c r="AU75" s="510"/>
    </row>
    <row r="76" spans="1:58">
      <c r="G76" s="876"/>
      <c r="H76" s="768"/>
      <c r="I76" s="1524"/>
      <c r="J76" s="27"/>
      <c r="K76" s="27"/>
      <c r="L76" s="27"/>
      <c r="M76" s="1542"/>
      <c r="N76" s="27"/>
      <c r="O76" s="27"/>
      <c r="P76" s="27"/>
      <c r="Q76" s="27"/>
      <c r="R76" s="27"/>
      <c r="S76" s="782"/>
      <c r="T76" s="27"/>
      <c r="U76" s="902"/>
      <c r="V76" s="27"/>
      <c r="W76" s="27"/>
      <c r="X76" s="27"/>
      <c r="Y76" s="27"/>
      <c r="Z76" s="782"/>
      <c r="AA76" s="27"/>
      <c r="AB76" s="1523"/>
      <c r="AC76" s="27"/>
      <c r="AD76" s="27"/>
      <c r="AE76" s="27"/>
      <c r="AF76" s="27"/>
      <c r="AG76" s="782"/>
      <c r="AH76" s="27"/>
      <c r="AI76" s="27"/>
      <c r="AJ76" s="1522"/>
      <c r="AK76" s="1521"/>
      <c r="AL76" s="27"/>
      <c r="AM76" s="27"/>
      <c r="AN76" s="1543"/>
    </row>
    <row r="77" spans="1:58">
      <c r="G77" s="876"/>
      <c r="H77" s="768"/>
      <c r="I77" s="1524"/>
      <c r="J77" s="27"/>
      <c r="K77" s="27"/>
      <c r="L77" s="27"/>
      <c r="M77" s="1542"/>
      <c r="N77" s="27"/>
      <c r="O77" s="27"/>
      <c r="P77" s="27"/>
      <c r="Q77" s="27"/>
      <c r="R77" s="27"/>
      <c r="S77" s="782"/>
      <c r="T77" s="27"/>
      <c r="U77" s="902"/>
      <c r="V77" s="27"/>
      <c r="W77" s="27"/>
      <c r="X77" s="27"/>
      <c r="Y77" s="27"/>
      <c r="Z77" s="782"/>
      <c r="AA77" s="27"/>
      <c r="AB77" s="1523"/>
      <c r="AC77" s="27"/>
      <c r="AD77" s="27"/>
      <c r="AE77" s="27"/>
      <c r="AF77" s="27"/>
      <c r="AG77" s="782"/>
      <c r="AH77" s="27"/>
      <c r="AI77" s="27"/>
      <c r="AJ77" s="1522"/>
      <c r="AK77" s="1521"/>
      <c r="AL77" s="27"/>
      <c r="AM77" s="27"/>
      <c r="AN77" s="1543"/>
    </row>
    <row r="78" spans="1:58">
      <c r="G78" s="876"/>
      <c r="H78" s="768"/>
      <c r="I78" s="1524"/>
      <c r="J78" s="27"/>
      <c r="K78" s="27"/>
      <c r="L78" s="27"/>
      <c r="M78" s="1542"/>
      <c r="N78" s="27"/>
      <c r="O78" s="27"/>
      <c r="P78" s="27"/>
      <c r="Q78" s="27"/>
      <c r="R78" s="27"/>
      <c r="S78" s="782"/>
      <c r="T78" s="27"/>
      <c r="U78" s="902"/>
      <c r="V78" s="27"/>
      <c r="W78" s="27"/>
      <c r="X78" s="27"/>
      <c r="Y78" s="27"/>
      <c r="Z78" s="782"/>
      <c r="AA78" s="27"/>
      <c r="AB78" s="1523"/>
      <c r="AC78" s="27"/>
      <c r="AD78" s="27"/>
      <c r="AE78" s="27"/>
      <c r="AF78" s="27"/>
      <c r="AG78" s="782"/>
      <c r="AH78" s="27"/>
      <c r="AI78" s="27"/>
      <c r="AJ78" s="1522"/>
      <c r="AK78" s="1521"/>
      <c r="AL78" s="27"/>
      <c r="AM78" s="27"/>
      <c r="AN78" s="1543"/>
    </row>
    <row r="79" spans="1:58">
      <c r="G79" s="876"/>
      <c r="H79" s="768"/>
      <c r="I79" s="1524"/>
      <c r="J79" s="27"/>
      <c r="K79" s="27"/>
      <c r="L79" s="27"/>
      <c r="M79" s="1542"/>
      <c r="N79" s="27"/>
      <c r="O79" s="27"/>
      <c r="P79" s="27"/>
      <c r="Q79" s="27"/>
      <c r="R79" s="27"/>
      <c r="S79" s="782"/>
      <c r="T79" s="27"/>
      <c r="U79" s="902"/>
      <c r="V79" s="27"/>
      <c r="W79" s="27"/>
      <c r="X79" s="27"/>
      <c r="Y79" s="27"/>
      <c r="Z79" s="782"/>
      <c r="AA79" s="27"/>
      <c r="AB79" s="1523"/>
      <c r="AC79" s="27"/>
      <c r="AD79" s="27"/>
      <c r="AE79" s="27"/>
      <c r="AF79" s="27"/>
      <c r="AG79" s="782"/>
      <c r="AH79" s="27"/>
      <c r="AI79" s="27"/>
      <c r="AJ79" s="1522"/>
      <c r="AK79" s="1521"/>
      <c r="AL79" s="27"/>
      <c r="AM79" s="27"/>
      <c r="AN79" s="1543"/>
    </row>
    <row r="80" spans="1:58">
      <c r="G80" s="876"/>
      <c r="H80" s="768"/>
      <c r="I80" s="1524"/>
      <c r="J80" s="27"/>
      <c r="K80" s="27"/>
      <c r="L80" s="27"/>
      <c r="M80" s="1542"/>
      <c r="N80" s="27"/>
      <c r="O80" s="27"/>
      <c r="P80" s="27"/>
      <c r="Q80" s="27"/>
      <c r="R80" s="27"/>
      <c r="S80" s="782"/>
      <c r="T80" s="27"/>
      <c r="U80" s="902"/>
      <c r="V80" s="27"/>
      <c r="W80" s="27"/>
      <c r="X80" s="27"/>
      <c r="Y80" s="27"/>
      <c r="Z80" s="782"/>
      <c r="AA80" s="27"/>
      <c r="AB80" s="1523"/>
      <c r="AC80" s="27"/>
      <c r="AD80" s="27"/>
      <c r="AE80" s="27"/>
      <c r="AF80" s="27"/>
      <c r="AG80" s="782"/>
      <c r="AH80" s="27"/>
      <c r="AI80" s="27"/>
      <c r="AJ80" s="1522"/>
      <c r="AK80" s="1521"/>
      <c r="AL80" s="27"/>
      <c r="AM80" s="27"/>
      <c r="AN80" s="1543"/>
    </row>
    <row r="81" spans="7:40">
      <c r="G81" s="876"/>
      <c r="H81" s="768"/>
      <c r="I81" s="1524"/>
      <c r="J81" s="27"/>
      <c r="K81" s="27"/>
      <c r="L81" s="27"/>
      <c r="M81" s="1542"/>
      <c r="N81" s="27"/>
      <c r="O81" s="27"/>
      <c r="P81" s="27"/>
      <c r="Q81" s="27"/>
      <c r="R81" s="27"/>
      <c r="S81" s="782"/>
      <c r="T81" s="27"/>
      <c r="U81" s="902"/>
      <c r="V81" s="27"/>
      <c r="W81" s="27"/>
      <c r="X81" s="27"/>
      <c r="Y81" s="27"/>
      <c r="Z81" s="782"/>
      <c r="AA81" s="27"/>
      <c r="AB81" s="1523"/>
      <c r="AC81" s="27"/>
      <c r="AD81" s="27"/>
      <c r="AE81" s="27"/>
      <c r="AF81" s="27"/>
      <c r="AG81" s="782"/>
      <c r="AH81" s="27"/>
      <c r="AI81" s="27"/>
      <c r="AJ81" s="1522"/>
      <c r="AK81" s="1521"/>
      <c r="AL81" s="27"/>
      <c r="AM81" s="27"/>
      <c r="AN81" s="1543"/>
    </row>
    <row r="82" spans="7:40">
      <c r="G82" s="876"/>
      <c r="H82" s="768"/>
      <c r="I82" s="1524"/>
      <c r="J82" s="27"/>
      <c r="K82" s="27"/>
      <c r="L82" s="27"/>
      <c r="M82" s="1542"/>
      <c r="N82" s="27"/>
      <c r="O82" s="27"/>
      <c r="P82" s="27"/>
      <c r="Q82" s="27"/>
      <c r="R82" s="27"/>
      <c r="S82" s="782"/>
      <c r="T82" s="27"/>
      <c r="U82" s="902"/>
      <c r="V82" s="27"/>
      <c r="W82" s="27"/>
      <c r="X82" s="27"/>
      <c r="Y82" s="27"/>
      <c r="Z82" s="782"/>
      <c r="AA82" s="27"/>
      <c r="AB82" s="1523"/>
      <c r="AC82" s="27"/>
      <c r="AD82" s="27"/>
      <c r="AE82" s="27"/>
      <c r="AF82" s="27"/>
      <c r="AG82" s="782"/>
      <c r="AH82" s="27"/>
      <c r="AI82" s="27"/>
      <c r="AJ82" s="1522"/>
      <c r="AK82" s="1521"/>
      <c r="AL82" s="27"/>
      <c r="AM82" s="27"/>
      <c r="AN82" s="1543"/>
    </row>
    <row r="83" spans="7:40">
      <c r="G83" s="876" t="s">
        <v>654</v>
      </c>
      <c r="H83" s="768"/>
      <c r="I83" s="1524"/>
      <c r="J83" s="27"/>
      <c r="K83" s="27"/>
      <c r="L83" s="27"/>
      <c r="M83" s="1542"/>
      <c r="N83" s="27"/>
      <c r="O83" s="27"/>
      <c r="P83" s="27"/>
      <c r="Q83" s="27"/>
      <c r="R83" s="27"/>
      <c r="S83" s="782"/>
      <c r="T83" s="27"/>
      <c r="U83" s="902"/>
      <c r="V83" s="27"/>
      <c r="W83" s="27"/>
      <c r="X83" s="27"/>
      <c r="Y83" s="27"/>
      <c r="Z83" s="782"/>
      <c r="AA83" s="27"/>
      <c r="AB83" s="1523"/>
      <c r="AC83" s="27"/>
      <c r="AD83" s="27"/>
      <c r="AE83" s="27"/>
      <c r="AF83" s="27"/>
      <c r="AG83" s="782"/>
      <c r="AH83" s="27"/>
      <c r="AI83" s="27"/>
      <c r="AJ83" s="27"/>
      <c r="AK83" s="27"/>
      <c r="AL83" s="27"/>
      <c r="AM83" s="27"/>
      <c r="AN83" s="27"/>
    </row>
    <row r="84" spans="7:40">
      <c r="U84" s="14"/>
    </row>
  </sheetData>
  <mergeCells count="81">
    <mergeCell ref="A2:A3"/>
    <mergeCell ref="B2:B3"/>
    <mergeCell ref="AC46:AE46"/>
    <mergeCell ref="AF46:AG46"/>
    <mergeCell ref="AC36:AE36"/>
    <mergeCell ref="AF36:AG36"/>
    <mergeCell ref="AF26:AG26"/>
    <mergeCell ref="AC26:AE26"/>
    <mergeCell ref="AF16:AG16"/>
    <mergeCell ref="AC16:AE16"/>
    <mergeCell ref="AC5:AE5"/>
    <mergeCell ref="AF5:AG5"/>
    <mergeCell ref="R46:S46"/>
    <mergeCell ref="T46:X46"/>
    <mergeCell ref="Y46:Z46"/>
    <mergeCell ref="Y36:Z36"/>
    <mergeCell ref="D3:I3"/>
    <mergeCell ref="J3:Q3"/>
    <mergeCell ref="Y16:Z16"/>
    <mergeCell ref="T16:X16"/>
    <mergeCell ref="Y5:Z5"/>
    <mergeCell ref="T5:X5"/>
    <mergeCell ref="R5:S5"/>
    <mergeCell ref="R16:S16"/>
    <mergeCell ref="J16:Q16"/>
    <mergeCell ref="D5:I5"/>
    <mergeCell ref="J5:Q5"/>
    <mergeCell ref="D13:E13"/>
    <mergeCell ref="AJ65:AN65"/>
    <mergeCell ref="AF65:AG65"/>
    <mergeCell ref="AC65:AE65"/>
    <mergeCell ref="AK53:AK62"/>
    <mergeCell ref="AA53:AA62"/>
    <mergeCell ref="AC53:AC62"/>
    <mergeCell ref="AB53:AB62"/>
    <mergeCell ref="AJ53:AJ62"/>
    <mergeCell ref="AG53:AG62"/>
    <mergeCell ref="AN53:AN62"/>
    <mergeCell ref="D26:I26"/>
    <mergeCell ref="D16:I16"/>
    <mergeCell ref="D36:I36"/>
    <mergeCell ref="Y65:Z65"/>
    <mergeCell ref="Z53:Z62"/>
    <mergeCell ref="J36:Q36"/>
    <mergeCell ref="D33:E33"/>
    <mergeCell ref="J26:Q26"/>
    <mergeCell ref="J53:J63"/>
    <mergeCell ref="D43:E43"/>
    <mergeCell ref="R36:S36"/>
    <mergeCell ref="T36:X36"/>
    <mergeCell ref="T26:X26"/>
    <mergeCell ref="R26:S26"/>
    <mergeCell ref="T53:T63"/>
    <mergeCell ref="D73:E73"/>
    <mergeCell ref="D65:I65"/>
    <mergeCell ref="D53:E62"/>
    <mergeCell ref="H53:H62"/>
    <mergeCell ref="I53:I62"/>
    <mergeCell ref="F53:F62"/>
    <mergeCell ref="G53:G62"/>
    <mergeCell ref="AI5:AN5"/>
    <mergeCell ref="AI3:AN3"/>
    <mergeCell ref="A1:AE1"/>
    <mergeCell ref="T65:X65"/>
    <mergeCell ref="L53:L62"/>
    <mergeCell ref="U53:U62"/>
    <mergeCell ref="J65:Q65"/>
    <mergeCell ref="R65:S65"/>
    <mergeCell ref="N53:N62"/>
    <mergeCell ref="M53:M62"/>
    <mergeCell ref="K53:K62"/>
    <mergeCell ref="S53:S62"/>
    <mergeCell ref="V53:V62"/>
    <mergeCell ref="D46:I46"/>
    <mergeCell ref="J46:Q46"/>
    <mergeCell ref="D23:E23"/>
    <mergeCell ref="AI16:AN16"/>
    <mergeCell ref="AI26:AN26"/>
    <mergeCell ref="AI36:AN36"/>
    <mergeCell ref="AI46:AN46"/>
    <mergeCell ref="Y26:Z26"/>
  </mergeCells>
  <phoneticPr fontId="61"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58"/>
  <sheetViews>
    <sheetView topLeftCell="A10" zoomScaleNormal="100" zoomScalePageLayoutView="163" workbookViewId="0">
      <selection activeCell="T42" sqref="T42"/>
    </sheetView>
  </sheetViews>
  <sheetFormatPr baseColWidth="10" defaultColWidth="11" defaultRowHeight="16"/>
  <cols>
    <col min="1" max="1" width="8.6640625" customWidth="1"/>
    <col min="2" max="2" width="7.5" style="579" customWidth="1"/>
    <col min="3" max="3" width="29.33203125" customWidth="1"/>
    <col min="4" max="4" width="11.6640625" customWidth="1"/>
    <col min="5" max="5" width="11" customWidth="1"/>
    <col min="6" max="6" width="9.5" customWidth="1"/>
    <col min="7" max="7" width="12" customWidth="1"/>
    <col min="8" max="8" width="9.33203125" customWidth="1"/>
    <col min="9" max="9" width="9.5" customWidth="1"/>
    <col min="10" max="10" width="11.6640625" customWidth="1"/>
    <col min="11" max="12" width="10" customWidth="1"/>
    <col min="13" max="13" width="13.6640625" customWidth="1"/>
    <col min="14" max="14" width="10.5" customWidth="1"/>
    <col min="15" max="15" width="1.5" style="484" customWidth="1"/>
    <col min="16" max="16" width="39.6640625" customWidth="1"/>
    <col min="17" max="17" width="9.6640625" customWidth="1"/>
    <col min="18" max="18" width="8.6640625" customWidth="1"/>
    <col min="19" max="19" width="8.1640625" customWidth="1"/>
    <col min="20" max="20" width="8.83203125" customWidth="1"/>
  </cols>
  <sheetData>
    <row r="1" spans="1:29">
      <c r="A1" s="1758" t="s">
        <v>832</v>
      </c>
      <c r="B1" s="1758"/>
      <c r="C1" s="1758"/>
      <c r="D1" s="1758"/>
      <c r="E1" s="1758"/>
      <c r="F1" s="1758"/>
      <c r="G1" s="1758"/>
      <c r="H1" s="1758"/>
      <c r="I1" s="1758"/>
      <c r="J1" s="1758"/>
      <c r="K1" s="1758"/>
      <c r="L1" s="1758"/>
      <c r="M1" s="1758"/>
      <c r="N1" s="1758"/>
      <c r="O1" s="14"/>
    </row>
    <row r="2" spans="1:29" ht="15" customHeight="1">
      <c r="A2" s="1750" t="s">
        <v>677</v>
      </c>
      <c r="B2" s="1752" t="s">
        <v>676</v>
      </c>
      <c r="C2" s="1771" t="s">
        <v>831</v>
      </c>
      <c r="D2" s="1704"/>
      <c r="E2" s="1704"/>
      <c r="F2" s="1704"/>
      <c r="G2" s="1704"/>
      <c r="H2" s="1704"/>
      <c r="I2" s="1704"/>
      <c r="J2" s="1704"/>
      <c r="K2" s="1704"/>
      <c r="L2" s="1704"/>
      <c r="M2" s="1704"/>
      <c r="N2" s="1704"/>
      <c r="O2" s="1704"/>
      <c r="P2" s="1704"/>
      <c r="Q2" s="1704"/>
      <c r="R2" s="1704"/>
      <c r="S2" s="1704"/>
      <c r="T2" s="1704"/>
      <c r="U2" s="1704"/>
      <c r="V2" s="1704"/>
      <c r="W2" s="1704"/>
      <c r="X2" s="953"/>
      <c r="Y2" s="953"/>
      <c r="Z2" s="953"/>
      <c r="AA2" s="14"/>
      <c r="AB2" s="14"/>
    </row>
    <row r="3" spans="1:29" ht="25" customHeight="1">
      <c r="A3" s="1751"/>
      <c r="B3" s="1704"/>
      <c r="C3" s="909"/>
      <c r="D3" s="1705" t="s">
        <v>662</v>
      </c>
      <c r="E3" s="1772"/>
      <c r="F3" s="1772"/>
      <c r="G3" s="1772"/>
      <c r="H3" s="1772"/>
      <c r="I3" s="1772"/>
      <c r="J3" s="909"/>
      <c r="K3" s="1773" t="s">
        <v>660</v>
      </c>
      <c r="L3" s="1676"/>
      <c r="M3" s="1676"/>
      <c r="N3" s="1676"/>
      <c r="O3" s="1563"/>
      <c r="P3" s="910"/>
      <c r="Q3" s="910"/>
      <c r="R3" s="910"/>
      <c r="S3" s="909"/>
      <c r="T3" s="909"/>
      <c r="U3" s="909"/>
      <c r="V3" s="909"/>
      <c r="W3" s="909"/>
      <c r="X3" s="909"/>
      <c r="Y3" s="909"/>
      <c r="Z3" s="14"/>
      <c r="AA3" s="14"/>
      <c r="AB3" s="14"/>
      <c r="AC3" s="1139" t="s">
        <v>815</v>
      </c>
    </row>
    <row r="4" spans="1:29" s="14" customFormat="1" ht="6" customHeight="1">
      <c r="A4" s="1210"/>
      <c r="B4" s="1538"/>
      <c r="C4" s="1538"/>
      <c r="D4" s="1561"/>
      <c r="E4" s="1250"/>
      <c r="F4" s="1250"/>
      <c r="G4" s="1250"/>
      <c r="H4" s="1250"/>
      <c r="I4" s="1250"/>
      <c r="J4" s="1538"/>
      <c r="K4" s="1172"/>
      <c r="L4" s="1562"/>
      <c r="M4" s="1562"/>
      <c r="N4" s="1562"/>
      <c r="O4" s="1563"/>
      <c r="P4" s="1563"/>
      <c r="Q4" s="1563"/>
      <c r="R4" s="1563"/>
      <c r="S4" s="1538"/>
      <c r="T4" s="1538"/>
      <c r="U4" s="1538"/>
      <c r="V4" s="1538"/>
      <c r="W4" s="1538"/>
      <c r="X4" s="1538"/>
      <c r="Y4" s="1538"/>
      <c r="AC4" s="896"/>
    </row>
    <row r="5" spans="1:29" ht="37" customHeight="1">
      <c r="B5" s="904" t="s">
        <v>96</v>
      </c>
      <c r="C5" s="1560" t="s">
        <v>34</v>
      </c>
      <c r="D5" s="1759" t="s">
        <v>168</v>
      </c>
      <c r="E5" s="1676"/>
      <c r="F5" s="1676"/>
      <c r="G5" s="1757"/>
      <c r="H5" s="1763" t="s">
        <v>45</v>
      </c>
      <c r="I5" s="1676"/>
      <c r="J5" s="1764"/>
      <c r="K5" s="1765" t="s">
        <v>32</v>
      </c>
      <c r="L5" s="1766"/>
      <c r="M5" s="1766"/>
      <c r="N5" s="1766"/>
      <c r="O5" s="580"/>
      <c r="P5" s="14"/>
      <c r="Q5" s="14"/>
      <c r="R5" s="14"/>
      <c r="S5" s="14"/>
      <c r="T5" s="14"/>
      <c r="U5" s="14"/>
      <c r="V5" s="14"/>
      <c r="W5" s="14"/>
      <c r="X5" s="14"/>
      <c r="Y5" s="14"/>
      <c r="Z5" s="14"/>
      <c r="AA5" s="14"/>
      <c r="AB5" s="14"/>
      <c r="AC5" s="1140" t="s">
        <v>816</v>
      </c>
    </row>
    <row r="6" spans="1:29">
      <c r="C6" s="535"/>
      <c r="D6" s="536">
        <v>1</v>
      </c>
      <c r="E6" s="536">
        <f t="shared" ref="E6:N6" si="0">D6+1</f>
        <v>2</v>
      </c>
      <c r="F6" s="536">
        <f t="shared" si="0"/>
        <v>3</v>
      </c>
      <c r="G6" s="536">
        <f t="shared" si="0"/>
        <v>4</v>
      </c>
      <c r="H6" s="536"/>
      <c r="I6" s="536">
        <f>G6+1</f>
        <v>5</v>
      </c>
      <c r="J6" s="536">
        <f t="shared" si="0"/>
        <v>6</v>
      </c>
      <c r="K6" s="536">
        <f t="shared" si="0"/>
        <v>7</v>
      </c>
      <c r="L6" s="536">
        <f t="shared" si="0"/>
        <v>8</v>
      </c>
      <c r="M6" s="536">
        <f t="shared" si="0"/>
        <v>9</v>
      </c>
      <c r="N6" s="536">
        <f t="shared" si="0"/>
        <v>10</v>
      </c>
      <c r="P6" s="14"/>
      <c r="Q6" s="14"/>
      <c r="R6" s="14"/>
      <c r="S6" s="14"/>
      <c r="T6" s="14"/>
      <c r="U6" s="14"/>
      <c r="V6" s="14"/>
      <c r="W6" s="14"/>
      <c r="X6" s="14"/>
      <c r="Y6" s="14"/>
      <c r="Z6" s="14"/>
      <c r="AA6" s="14"/>
      <c r="AB6" s="14"/>
      <c r="AC6" s="1141" t="s">
        <v>817</v>
      </c>
    </row>
    <row r="7" spans="1:29" ht="100" customHeight="1">
      <c r="C7" s="418" t="s">
        <v>543</v>
      </c>
      <c r="D7" s="1228" t="s">
        <v>220</v>
      </c>
      <c r="E7" s="1201" t="s">
        <v>221</v>
      </c>
      <c r="F7" s="1202" t="s">
        <v>222</v>
      </c>
      <c r="G7" s="1201" t="s">
        <v>234</v>
      </c>
      <c r="H7" s="805" t="s">
        <v>761</v>
      </c>
      <c r="I7" s="1232" t="s">
        <v>860</v>
      </c>
      <c r="J7" s="988" t="s">
        <v>544</v>
      </c>
      <c r="K7" s="1201" t="s">
        <v>227</v>
      </c>
      <c r="L7" s="1201" t="s">
        <v>545</v>
      </c>
      <c r="M7" s="1201" t="s">
        <v>546</v>
      </c>
      <c r="N7" s="988" t="s">
        <v>553</v>
      </c>
      <c r="P7" s="56"/>
      <c r="Q7" s="988" t="s">
        <v>357</v>
      </c>
      <c r="R7" s="988" t="s">
        <v>561</v>
      </c>
      <c r="S7" s="988" t="s">
        <v>237</v>
      </c>
      <c r="T7" s="1008" t="s">
        <v>811</v>
      </c>
      <c r="V7" s="264"/>
      <c r="W7" s="14"/>
      <c r="X7" s="14"/>
      <c r="Y7" s="14"/>
      <c r="Z7" s="14"/>
      <c r="AA7" s="14"/>
      <c r="AB7" s="14"/>
      <c r="AC7" s="1148" t="s">
        <v>822</v>
      </c>
    </row>
    <row r="8" spans="1:29" ht="41" customHeight="1">
      <c r="A8" s="955">
        <v>1</v>
      </c>
      <c r="B8" s="885">
        <v>1</v>
      </c>
      <c r="C8" s="411" t="s">
        <v>107</v>
      </c>
      <c r="D8" s="787">
        <v>80</v>
      </c>
      <c r="E8" s="787">
        <f>2*D8</f>
        <v>160</v>
      </c>
      <c r="F8" s="787">
        <f>2*86</f>
        <v>172</v>
      </c>
      <c r="G8" s="1203">
        <f>F8*1.1</f>
        <v>189.20000000000002</v>
      </c>
      <c r="H8" s="997">
        <f>0.23*E8</f>
        <v>36.800000000000004</v>
      </c>
      <c r="I8" s="624">
        <f t="shared" ref="I8:I9" si="1">0.5*(H8*1.1)</f>
        <v>20.240000000000006</v>
      </c>
      <c r="J8" s="412">
        <f>2*13.75</f>
        <v>27.5</v>
      </c>
      <c r="K8" s="537">
        <v>78</v>
      </c>
      <c r="L8" s="537">
        <v>41</v>
      </c>
      <c r="M8" s="537">
        <f>(2*L8)+(2*71)</f>
        <v>224</v>
      </c>
      <c r="N8" s="412">
        <f>2*26</f>
        <v>52</v>
      </c>
      <c r="P8" s="411" t="s">
        <v>547</v>
      </c>
      <c r="Q8" s="412">
        <f>H8</f>
        <v>36.800000000000004</v>
      </c>
      <c r="R8" s="412">
        <f>N8</f>
        <v>52</v>
      </c>
      <c r="S8" s="412">
        <f>J8</f>
        <v>27.5</v>
      </c>
      <c r="T8" s="538">
        <f>M8-G8</f>
        <v>34.799999999999983</v>
      </c>
      <c r="V8" s="415"/>
      <c r="W8" s="415"/>
      <c r="X8" s="415"/>
      <c r="Y8" s="415"/>
      <c r="Z8" s="415"/>
      <c r="AA8" s="415"/>
      <c r="AB8" s="416"/>
      <c r="AC8" s="1150">
        <f>B8</f>
        <v>1</v>
      </c>
    </row>
    <row r="9" spans="1:29" ht="45" customHeight="1">
      <c r="A9" s="955">
        <f>A8+1</f>
        <v>2</v>
      </c>
      <c r="B9" s="885">
        <f>B8+1</f>
        <v>2</v>
      </c>
      <c r="C9" s="411" t="s">
        <v>108</v>
      </c>
      <c r="D9" s="787">
        <v>91</v>
      </c>
      <c r="E9" s="1203">
        <f>D9*2</f>
        <v>182</v>
      </c>
      <c r="F9" s="1204">
        <f>(2*94)</f>
        <v>188</v>
      </c>
      <c r="G9" s="1203">
        <f>F9*1.1</f>
        <v>206.8</v>
      </c>
      <c r="H9" s="997">
        <f>0.23*E9</f>
        <v>41.86</v>
      </c>
      <c r="I9" s="624">
        <f t="shared" si="1"/>
        <v>23.023000000000003</v>
      </c>
      <c r="J9" s="412">
        <f>(2*18.5)</f>
        <v>37</v>
      </c>
      <c r="K9" s="787">
        <f>493-409</f>
        <v>84</v>
      </c>
      <c r="L9" s="1090">
        <f>323-220</f>
        <v>103</v>
      </c>
      <c r="M9" s="537">
        <f>(2*L9)+(2*71)</f>
        <v>348</v>
      </c>
      <c r="N9" s="412">
        <f>2*38</f>
        <v>76</v>
      </c>
      <c r="P9" s="411" t="s">
        <v>548</v>
      </c>
      <c r="Q9" s="412">
        <f>H9</f>
        <v>41.86</v>
      </c>
      <c r="R9" s="412">
        <f>N9</f>
        <v>76</v>
      </c>
      <c r="S9" s="412">
        <f>J9</f>
        <v>37</v>
      </c>
      <c r="T9" s="538">
        <f>M9-G9</f>
        <v>141.19999999999999</v>
      </c>
      <c r="V9" s="415"/>
      <c r="W9" s="415"/>
      <c r="X9" s="415"/>
      <c r="Y9" s="415"/>
      <c r="Z9" s="415"/>
      <c r="AA9" s="415"/>
      <c r="AB9" s="415"/>
      <c r="AC9" s="1150">
        <f>B9</f>
        <v>2</v>
      </c>
    </row>
    <row r="10" spans="1:29" ht="327" customHeight="1">
      <c r="C10" s="1184" t="s">
        <v>853</v>
      </c>
      <c r="F10" s="563" t="s">
        <v>855</v>
      </c>
      <c r="G10" s="558" t="s">
        <v>856</v>
      </c>
      <c r="H10" s="1089" t="s">
        <v>193</v>
      </c>
      <c r="I10" s="1184" t="s">
        <v>193</v>
      </c>
      <c r="J10" s="564" t="s">
        <v>858</v>
      </c>
      <c r="K10" s="1226" t="s">
        <v>857</v>
      </c>
      <c r="L10" s="1184" t="s">
        <v>552</v>
      </c>
      <c r="M10" s="987" t="s">
        <v>859</v>
      </c>
      <c r="N10" s="1227" t="s">
        <v>554</v>
      </c>
      <c r="P10" s="14"/>
      <c r="Q10" s="565"/>
      <c r="R10" s="14"/>
      <c r="S10" s="14"/>
      <c r="T10" s="14"/>
      <c r="U10" s="14"/>
      <c r="V10" s="14"/>
      <c r="W10" s="14"/>
      <c r="X10" s="14"/>
      <c r="Y10" s="14"/>
      <c r="Z10" s="14"/>
      <c r="AA10" s="14"/>
      <c r="AB10" s="14"/>
    </row>
    <row r="11" spans="1:29">
      <c r="C11" s="143"/>
      <c r="D11" s="45"/>
      <c r="E11" s="45"/>
      <c r="F11" s="314"/>
      <c r="G11" s="314"/>
      <c r="H11" s="314"/>
      <c r="I11" s="429"/>
      <c r="J11" s="314"/>
      <c r="K11" s="429"/>
      <c r="L11" s="429"/>
      <c r="M11" s="562"/>
      <c r="N11" s="571"/>
      <c r="P11" s="14"/>
      <c r="Q11" s="566"/>
      <c r="R11" s="14"/>
      <c r="S11" s="14"/>
      <c r="T11" s="509" t="s">
        <v>105</v>
      </c>
      <c r="U11" s="14"/>
      <c r="V11" s="14"/>
      <c r="W11" s="14"/>
      <c r="X11" s="14"/>
      <c r="Y11" s="14"/>
      <c r="Z11" s="14"/>
      <c r="AA11" s="14"/>
      <c r="AB11" s="14"/>
    </row>
    <row r="12" spans="1:29" ht="14" customHeight="1">
      <c r="C12" s="143"/>
      <c r="D12" s="14"/>
      <c r="E12" s="199"/>
      <c r="F12" s="14"/>
      <c r="G12" s="14"/>
      <c r="H12" s="14"/>
      <c r="I12" s="314"/>
      <c r="J12" s="314"/>
      <c r="K12" s="314"/>
      <c r="L12" s="14"/>
      <c r="M12" s="14"/>
      <c r="N12" s="429"/>
      <c r="P12" s="14"/>
      <c r="Q12" s="14"/>
      <c r="R12" s="14"/>
      <c r="S12" s="14"/>
      <c r="T12" s="14"/>
      <c r="U12" s="14"/>
      <c r="V12" s="14"/>
      <c r="W12" s="14"/>
      <c r="X12" s="14"/>
      <c r="Y12" s="14"/>
      <c r="Z12" s="14"/>
      <c r="AA12" s="14"/>
      <c r="AB12" s="14"/>
    </row>
    <row r="13" spans="1:29" ht="34" customHeight="1">
      <c r="B13" s="904" t="s">
        <v>97</v>
      </c>
      <c r="C13" s="1560" t="s">
        <v>34</v>
      </c>
      <c r="D13" s="1755" t="s">
        <v>168</v>
      </c>
      <c r="E13" s="1756"/>
      <c r="F13" s="1756"/>
      <c r="G13" s="1756"/>
      <c r="H13" s="1757"/>
      <c r="I13" s="1763" t="s">
        <v>45</v>
      </c>
      <c r="J13" s="1775"/>
      <c r="K13" s="1765" t="s">
        <v>32</v>
      </c>
      <c r="L13" s="1766"/>
      <c r="M13" s="1766"/>
      <c r="N13" s="1766"/>
      <c r="P13" s="14"/>
      <c r="Q13" s="14"/>
      <c r="R13" s="14"/>
      <c r="S13" s="14"/>
      <c r="T13" s="14"/>
      <c r="U13" s="14"/>
      <c r="V13" s="14"/>
      <c r="W13" s="14"/>
      <c r="X13" s="14"/>
      <c r="Y13" s="14"/>
      <c r="Z13" s="14"/>
      <c r="AA13" s="14"/>
      <c r="AB13" s="14"/>
    </row>
    <row r="14" spans="1:29" ht="15" customHeight="1">
      <c r="C14" s="569"/>
      <c r="D14" s="570">
        <v>1</v>
      </c>
      <c r="E14" s="570">
        <f>D14+1</f>
        <v>2</v>
      </c>
      <c r="F14" s="570">
        <f t="shared" ref="F14:N14" si="2">E14+1</f>
        <v>3</v>
      </c>
      <c r="G14" s="570">
        <f t="shared" si="2"/>
        <v>4</v>
      </c>
      <c r="H14" s="570">
        <f t="shared" si="2"/>
        <v>5</v>
      </c>
      <c r="I14" s="570">
        <f t="shared" si="2"/>
        <v>6</v>
      </c>
      <c r="J14" s="570">
        <f t="shared" si="2"/>
        <v>7</v>
      </c>
      <c r="K14" s="570">
        <f t="shared" si="2"/>
        <v>8</v>
      </c>
      <c r="L14" s="570">
        <f t="shared" si="2"/>
        <v>9</v>
      </c>
      <c r="M14" s="570">
        <f t="shared" si="2"/>
        <v>10</v>
      </c>
      <c r="N14" s="570">
        <f t="shared" si="2"/>
        <v>11</v>
      </c>
      <c r="P14" s="14"/>
      <c r="Q14" s="14"/>
      <c r="R14" s="14"/>
      <c r="S14" s="14"/>
      <c r="T14" s="14"/>
      <c r="U14" s="14"/>
      <c r="V14" s="14"/>
      <c r="W14" s="14"/>
      <c r="X14" s="14"/>
      <c r="Y14" s="14"/>
      <c r="Z14" s="14"/>
      <c r="AA14" s="14"/>
      <c r="AB14" s="14"/>
    </row>
    <row r="15" spans="1:29" ht="15" customHeight="1">
      <c r="C15" s="1712" t="s">
        <v>549</v>
      </c>
      <c r="D15" s="1728" t="s">
        <v>220</v>
      </c>
      <c r="E15" s="1728" t="s">
        <v>221</v>
      </c>
      <c r="F15" s="1760" t="s">
        <v>233</v>
      </c>
      <c r="G15" s="1728" t="s">
        <v>234</v>
      </c>
      <c r="H15" s="1729" t="s">
        <v>761</v>
      </c>
      <c r="I15" s="1769" t="s">
        <v>240</v>
      </c>
      <c r="J15" s="1761" t="s">
        <v>550</v>
      </c>
      <c r="K15" s="1728" t="s">
        <v>227</v>
      </c>
      <c r="L15" s="1728" t="s">
        <v>556</v>
      </c>
      <c r="M15" s="1728" t="s">
        <v>624</v>
      </c>
      <c r="N15" s="1729" t="s">
        <v>553</v>
      </c>
      <c r="O15" s="568"/>
      <c r="P15" s="1762"/>
      <c r="Q15" s="1716" t="s">
        <v>357</v>
      </c>
      <c r="R15" s="1716" t="s">
        <v>555</v>
      </c>
      <c r="S15" s="1716" t="s">
        <v>237</v>
      </c>
      <c r="T15" s="1726" t="s">
        <v>811</v>
      </c>
      <c r="U15" s="14"/>
      <c r="V15" s="14"/>
      <c r="W15" s="14"/>
      <c r="X15" s="14"/>
      <c r="Y15" s="14"/>
      <c r="Z15" s="14"/>
      <c r="AA15" s="14"/>
    </row>
    <row r="16" spans="1:29" ht="100" customHeight="1">
      <c r="C16" s="1712"/>
      <c r="D16" s="1728"/>
      <c r="E16" s="1728"/>
      <c r="F16" s="1760"/>
      <c r="G16" s="1728"/>
      <c r="H16" s="1729"/>
      <c r="I16" s="1769"/>
      <c r="J16" s="1761"/>
      <c r="K16" s="1728"/>
      <c r="L16" s="1728"/>
      <c r="M16" s="1728"/>
      <c r="N16" s="1729"/>
      <c r="O16" s="568"/>
      <c r="P16" s="1762"/>
      <c r="Q16" s="1739"/>
      <c r="R16" s="1739"/>
      <c r="S16" s="1739"/>
      <c r="T16" s="1739"/>
      <c r="U16" s="14"/>
      <c r="V16" s="14"/>
      <c r="W16" s="14"/>
      <c r="X16" s="14"/>
      <c r="Y16" s="14"/>
      <c r="Z16" s="14"/>
      <c r="AA16" s="14"/>
      <c r="AC16" s="1148" t="s">
        <v>822</v>
      </c>
    </row>
    <row r="17" spans="1:29" ht="16" customHeight="1">
      <c r="A17" s="596">
        <v>3</v>
      </c>
      <c r="B17" s="911">
        <v>3</v>
      </c>
      <c r="C17" s="306" t="s">
        <v>114</v>
      </c>
      <c r="D17" s="1205">
        <v>17</v>
      </c>
      <c r="E17" s="1205">
        <f t="shared" ref="E17:E22" si="3">2*D17</f>
        <v>34</v>
      </c>
      <c r="F17" s="1205">
        <f>2*18</f>
        <v>36</v>
      </c>
      <c r="G17" s="1206">
        <f t="shared" ref="G17:G22" si="4">F17*1.15</f>
        <v>41.4</v>
      </c>
      <c r="H17" s="583">
        <f>0.23*E17</f>
        <v>7.82</v>
      </c>
      <c r="I17" s="639">
        <f t="shared" ref="I17:I22" si="5">0.5*(H17*1.1)</f>
        <v>4.3010000000000002</v>
      </c>
      <c r="J17" s="303">
        <f>2*6</f>
        <v>12</v>
      </c>
      <c r="K17" s="305">
        <v>6</v>
      </c>
      <c r="L17" s="341">
        <f>188-170</f>
        <v>18</v>
      </c>
      <c r="M17" s="305">
        <f t="shared" ref="M17:M22" si="6">2*(L17+71)</f>
        <v>178</v>
      </c>
      <c r="N17" s="304">
        <f>2*28</f>
        <v>56</v>
      </c>
      <c r="O17" s="567"/>
      <c r="P17" s="306" t="s">
        <v>27</v>
      </c>
      <c r="Q17" s="304">
        <f t="shared" ref="Q17:Q22" si="7">H17</f>
        <v>7.82</v>
      </c>
      <c r="R17" s="304">
        <f t="shared" ref="R17:R22" si="8">N17</f>
        <v>56</v>
      </c>
      <c r="S17" s="304">
        <f t="shared" ref="S17:S22" si="9">J17</f>
        <v>12</v>
      </c>
      <c r="T17" s="421">
        <f t="shared" ref="T17:T22" si="10">M17-G17</f>
        <v>136.6</v>
      </c>
      <c r="U17" s="14"/>
      <c r="V17" s="14"/>
      <c r="W17" s="14"/>
      <c r="X17" s="14"/>
      <c r="Y17" s="14"/>
      <c r="Z17" s="14"/>
      <c r="AA17" s="14"/>
      <c r="AC17" s="1150">
        <f>B17</f>
        <v>3</v>
      </c>
    </row>
    <row r="18" spans="1:29">
      <c r="A18" s="596">
        <f t="shared" ref="A18:B22" si="11">A17+1</f>
        <v>4</v>
      </c>
      <c r="B18" s="911">
        <f t="shared" si="11"/>
        <v>4</v>
      </c>
      <c r="C18" s="306" t="s">
        <v>109</v>
      </c>
      <c r="D18" s="1205">
        <v>15</v>
      </c>
      <c r="E18" s="1205">
        <f t="shared" si="3"/>
        <v>30</v>
      </c>
      <c r="F18" s="1205">
        <f>2*27</f>
        <v>54</v>
      </c>
      <c r="G18" s="1206">
        <f t="shared" si="4"/>
        <v>62.099999999999994</v>
      </c>
      <c r="H18" s="583">
        <f t="shared" ref="H18:H22" si="12">0.23*E18</f>
        <v>6.9</v>
      </c>
      <c r="I18" s="639">
        <f t="shared" si="5"/>
        <v>3.7950000000000004</v>
      </c>
      <c r="J18" s="303">
        <f>2*6</f>
        <v>12</v>
      </c>
      <c r="K18" s="305">
        <v>13</v>
      </c>
      <c r="L18" s="341">
        <f>248-236</f>
        <v>12</v>
      </c>
      <c r="M18" s="305">
        <f t="shared" si="6"/>
        <v>166</v>
      </c>
      <c r="N18" s="304">
        <f>2*28</f>
        <v>56</v>
      </c>
      <c r="O18" s="567"/>
      <c r="P18" s="577" t="s">
        <v>557</v>
      </c>
      <c r="Q18" s="304">
        <f t="shared" si="7"/>
        <v>6.9</v>
      </c>
      <c r="R18" s="304">
        <f t="shared" si="8"/>
        <v>56</v>
      </c>
      <c r="S18" s="304">
        <f t="shared" si="9"/>
        <v>12</v>
      </c>
      <c r="T18" s="421">
        <f t="shared" si="10"/>
        <v>103.9</v>
      </c>
      <c r="U18" s="14"/>
      <c r="V18" s="14"/>
      <c r="W18" s="14"/>
      <c r="X18" s="14"/>
      <c r="Y18" s="14"/>
      <c r="Z18" s="14"/>
      <c r="AA18" s="14"/>
      <c r="AC18" s="1150">
        <f t="shared" ref="AC18:AC22" si="13">B18</f>
        <v>4</v>
      </c>
    </row>
    <row r="19" spans="1:29" ht="16" customHeight="1">
      <c r="A19" s="596">
        <f t="shared" si="11"/>
        <v>5</v>
      </c>
      <c r="B19" s="911">
        <f t="shared" si="11"/>
        <v>5</v>
      </c>
      <c r="C19" s="306" t="s">
        <v>110</v>
      </c>
      <c r="D19" s="1205">
        <v>16</v>
      </c>
      <c r="E19" s="1205">
        <f t="shared" si="3"/>
        <v>32</v>
      </c>
      <c r="F19" s="1205">
        <f>2*31</f>
        <v>62</v>
      </c>
      <c r="G19" s="1206">
        <f t="shared" si="4"/>
        <v>71.3</v>
      </c>
      <c r="H19" s="583">
        <f t="shared" si="12"/>
        <v>7.36</v>
      </c>
      <c r="I19" s="639">
        <f t="shared" si="5"/>
        <v>4.0480000000000009</v>
      </c>
      <c r="J19" s="303">
        <f>2*6.5</f>
        <v>13</v>
      </c>
      <c r="K19" s="305">
        <v>14</v>
      </c>
      <c r="L19" s="341">
        <f>200-142</f>
        <v>58</v>
      </c>
      <c r="M19" s="305">
        <f t="shared" si="6"/>
        <v>258</v>
      </c>
      <c r="N19" s="304">
        <f>2*28</f>
        <v>56</v>
      </c>
      <c r="O19" s="567"/>
      <c r="P19" s="306" t="s">
        <v>72</v>
      </c>
      <c r="Q19" s="304">
        <f t="shared" si="7"/>
        <v>7.36</v>
      </c>
      <c r="R19" s="304">
        <f t="shared" si="8"/>
        <v>56</v>
      </c>
      <c r="S19" s="304">
        <f t="shared" si="9"/>
        <v>13</v>
      </c>
      <c r="T19" s="421">
        <f t="shared" si="10"/>
        <v>186.7</v>
      </c>
      <c r="U19" s="14"/>
      <c r="V19" s="14"/>
      <c r="W19" s="14"/>
      <c r="X19" s="14"/>
      <c r="Y19" s="14"/>
      <c r="Z19" s="14"/>
      <c r="AA19" s="14"/>
      <c r="AC19" s="1150">
        <f t="shared" si="13"/>
        <v>5</v>
      </c>
    </row>
    <row r="20" spans="1:29">
      <c r="A20" s="596">
        <f t="shared" si="11"/>
        <v>6</v>
      </c>
      <c r="B20" s="911">
        <f t="shared" si="11"/>
        <v>6</v>
      </c>
      <c r="C20" s="306" t="s">
        <v>111</v>
      </c>
      <c r="D20" s="1205">
        <v>15</v>
      </c>
      <c r="E20" s="1205">
        <f t="shared" si="3"/>
        <v>30</v>
      </c>
      <c r="F20" s="1205">
        <f>2*14</f>
        <v>28</v>
      </c>
      <c r="G20" s="1206">
        <f t="shared" si="4"/>
        <v>32.199999999999996</v>
      </c>
      <c r="H20" s="583">
        <f t="shared" si="12"/>
        <v>6.9</v>
      </c>
      <c r="I20" s="639">
        <f t="shared" si="5"/>
        <v>3.7950000000000004</v>
      </c>
      <c r="J20" s="303">
        <f>2*5.75</f>
        <v>11.5</v>
      </c>
      <c r="K20" s="305">
        <v>15</v>
      </c>
      <c r="L20" s="341">
        <v>19</v>
      </c>
      <c r="M20" s="305">
        <f t="shared" si="6"/>
        <v>180</v>
      </c>
      <c r="N20" s="304">
        <f>2*19</f>
        <v>38</v>
      </c>
      <c r="O20" s="567"/>
      <c r="P20" s="577" t="s">
        <v>159</v>
      </c>
      <c r="Q20" s="304">
        <f t="shared" si="7"/>
        <v>6.9</v>
      </c>
      <c r="R20" s="304">
        <f t="shared" si="8"/>
        <v>38</v>
      </c>
      <c r="S20" s="304">
        <f t="shared" si="9"/>
        <v>11.5</v>
      </c>
      <c r="T20" s="421">
        <f t="shared" si="10"/>
        <v>147.80000000000001</v>
      </c>
      <c r="U20" s="14"/>
      <c r="V20" s="14"/>
      <c r="W20" s="14"/>
      <c r="X20" s="14"/>
      <c r="Y20" s="14"/>
      <c r="Z20" s="14"/>
      <c r="AA20" s="14"/>
      <c r="AC20" s="1150">
        <f t="shared" si="13"/>
        <v>6</v>
      </c>
    </row>
    <row r="21" spans="1:29" ht="16" customHeight="1">
      <c r="A21" s="596">
        <f t="shared" si="11"/>
        <v>7</v>
      </c>
      <c r="B21" s="911">
        <f t="shared" si="11"/>
        <v>7</v>
      </c>
      <c r="C21" s="306" t="s">
        <v>112</v>
      </c>
      <c r="D21" s="1205">
        <v>30</v>
      </c>
      <c r="E21" s="1205">
        <f t="shared" si="3"/>
        <v>60</v>
      </c>
      <c r="F21" s="1205">
        <f>2*46</f>
        <v>92</v>
      </c>
      <c r="G21" s="1206">
        <f t="shared" si="4"/>
        <v>105.8</v>
      </c>
      <c r="H21" s="583">
        <f t="shared" si="12"/>
        <v>13.8</v>
      </c>
      <c r="I21" s="639">
        <f t="shared" si="5"/>
        <v>7.5900000000000007</v>
      </c>
      <c r="J21" s="303">
        <f>2*8.75</f>
        <v>17.5</v>
      </c>
      <c r="K21" s="305">
        <v>20</v>
      </c>
      <c r="L21" s="341">
        <f>187-124</f>
        <v>63</v>
      </c>
      <c r="M21" s="305">
        <f t="shared" si="6"/>
        <v>268</v>
      </c>
      <c r="N21" s="304">
        <f>2*32</f>
        <v>64</v>
      </c>
      <c r="O21" s="567"/>
      <c r="P21" s="306" t="s">
        <v>73</v>
      </c>
      <c r="Q21" s="304">
        <f t="shared" si="7"/>
        <v>13.8</v>
      </c>
      <c r="R21" s="304">
        <f t="shared" si="8"/>
        <v>64</v>
      </c>
      <c r="S21" s="304">
        <f t="shared" si="9"/>
        <v>17.5</v>
      </c>
      <c r="T21" s="421">
        <f t="shared" si="10"/>
        <v>162.19999999999999</v>
      </c>
      <c r="U21" s="14"/>
      <c r="V21" s="14"/>
      <c r="W21" s="14"/>
      <c r="X21" s="14"/>
      <c r="Y21" s="14"/>
      <c r="Z21" s="14"/>
      <c r="AA21" s="14"/>
      <c r="AC21" s="1150">
        <f t="shared" si="13"/>
        <v>7</v>
      </c>
    </row>
    <row r="22" spans="1:29">
      <c r="A22" s="596">
        <f t="shared" si="11"/>
        <v>8</v>
      </c>
      <c r="B22" s="911">
        <f t="shared" si="11"/>
        <v>8</v>
      </c>
      <c r="C22" s="306" t="s">
        <v>113</v>
      </c>
      <c r="D22" s="1205">
        <f>29</f>
        <v>29</v>
      </c>
      <c r="E22" s="1205">
        <f t="shared" si="3"/>
        <v>58</v>
      </c>
      <c r="F22" s="1205">
        <f>2*47</f>
        <v>94</v>
      </c>
      <c r="G22" s="1206">
        <f t="shared" si="4"/>
        <v>108.1</v>
      </c>
      <c r="H22" s="583">
        <f t="shared" si="12"/>
        <v>13.34</v>
      </c>
      <c r="I22" s="639">
        <f t="shared" si="5"/>
        <v>7.3370000000000006</v>
      </c>
      <c r="J22" s="303">
        <f>2*8.75</f>
        <v>17.5</v>
      </c>
      <c r="K22" s="305">
        <v>27</v>
      </c>
      <c r="L22" s="341">
        <f>239-181</f>
        <v>58</v>
      </c>
      <c r="M22" s="305">
        <f t="shared" si="6"/>
        <v>258</v>
      </c>
      <c r="N22" s="304">
        <f>2*32</f>
        <v>64</v>
      </c>
      <c r="O22" s="567"/>
      <c r="P22" s="306" t="s">
        <v>75</v>
      </c>
      <c r="Q22" s="304">
        <f t="shared" si="7"/>
        <v>13.34</v>
      </c>
      <c r="R22" s="304">
        <f t="shared" si="8"/>
        <v>64</v>
      </c>
      <c r="S22" s="304">
        <f t="shared" si="9"/>
        <v>17.5</v>
      </c>
      <c r="T22" s="421">
        <f t="shared" si="10"/>
        <v>149.9</v>
      </c>
      <c r="U22" s="14"/>
      <c r="V22" s="14"/>
      <c r="W22" s="14"/>
      <c r="X22" s="14"/>
      <c r="Y22" s="14"/>
      <c r="Z22" s="14"/>
      <c r="AA22" s="14"/>
      <c r="AC22" s="1150">
        <f t="shared" si="13"/>
        <v>8</v>
      </c>
    </row>
    <row r="23" spans="1:29" ht="293" customHeight="1">
      <c r="D23" s="1699" t="s">
        <v>854</v>
      </c>
      <c r="E23" s="1700"/>
      <c r="F23" s="1185" t="s">
        <v>855</v>
      </c>
      <c r="G23" s="912" t="s">
        <v>856</v>
      </c>
      <c r="H23" s="1191" t="s">
        <v>193</v>
      </c>
      <c r="I23" s="1184" t="s">
        <v>193</v>
      </c>
      <c r="J23" s="564" t="s">
        <v>858</v>
      </c>
      <c r="K23" s="1226" t="s">
        <v>857</v>
      </c>
      <c r="L23" s="1184" t="s">
        <v>552</v>
      </c>
      <c r="M23" s="1183" t="s">
        <v>859</v>
      </c>
      <c r="N23" s="1227" t="s">
        <v>554</v>
      </c>
    </row>
    <row r="24" spans="1:29">
      <c r="M24" s="788"/>
      <c r="T24" s="510" t="s">
        <v>105</v>
      </c>
    </row>
    <row r="26" spans="1:29" s="1229" customFormat="1" ht="35" customHeight="1">
      <c r="B26" s="1230" t="s">
        <v>98</v>
      </c>
      <c r="C26" s="1559" t="s">
        <v>34</v>
      </c>
      <c r="D26" s="1690" t="s">
        <v>168</v>
      </c>
      <c r="E26" s="1691"/>
      <c r="F26" s="1691"/>
      <c r="G26" s="1770"/>
      <c r="H26" s="1682" t="s">
        <v>45</v>
      </c>
      <c r="I26" s="1767"/>
      <c r="J26" s="1768"/>
      <c r="K26" s="1684" t="s">
        <v>32</v>
      </c>
      <c r="L26" s="1685"/>
      <c r="M26" s="1685"/>
      <c r="N26" s="1685"/>
      <c r="O26" s="1231"/>
    </row>
    <row r="27" spans="1:29" ht="15" customHeight="1">
      <c r="C27" s="572"/>
      <c r="D27" s="570">
        <v>1</v>
      </c>
      <c r="E27" s="570">
        <f>D27+1</f>
        <v>2</v>
      </c>
      <c r="F27" s="570">
        <f t="shared" ref="F27:N27" si="14">E27+1</f>
        <v>3</v>
      </c>
      <c r="G27" s="570">
        <f t="shared" si="14"/>
        <v>4</v>
      </c>
      <c r="H27" s="570">
        <f t="shared" si="14"/>
        <v>5</v>
      </c>
      <c r="I27" s="570">
        <f t="shared" si="14"/>
        <v>6</v>
      </c>
      <c r="J27" s="570">
        <f t="shared" si="14"/>
        <v>7</v>
      </c>
      <c r="K27" s="570">
        <f t="shared" si="14"/>
        <v>8</v>
      </c>
      <c r="L27" s="570">
        <f t="shared" si="14"/>
        <v>9</v>
      </c>
      <c r="M27" s="570">
        <f t="shared" si="14"/>
        <v>10</v>
      </c>
      <c r="N27" s="570">
        <f t="shared" si="14"/>
        <v>11</v>
      </c>
      <c r="AC27" s="1720" t="s">
        <v>822</v>
      </c>
    </row>
    <row r="28" spans="1:29" ht="15" customHeight="1">
      <c r="C28" s="1742" t="s">
        <v>551</v>
      </c>
      <c r="D28" s="1706" t="s">
        <v>220</v>
      </c>
      <c r="E28" s="1706" t="s">
        <v>221</v>
      </c>
      <c r="F28" s="1721" t="s">
        <v>233</v>
      </c>
      <c r="G28" s="1706" t="s">
        <v>239</v>
      </c>
      <c r="H28" s="1729" t="s">
        <v>761</v>
      </c>
      <c r="I28" s="1769" t="s">
        <v>240</v>
      </c>
      <c r="J28" s="1769" t="s">
        <v>550</v>
      </c>
      <c r="K28" s="1728" t="s">
        <v>227</v>
      </c>
      <c r="L28" s="1728" t="s">
        <v>556</v>
      </c>
      <c r="M28" s="1728" t="s">
        <v>229</v>
      </c>
      <c r="N28" s="1729" t="s">
        <v>553</v>
      </c>
      <c r="O28" s="567"/>
      <c r="P28" s="1730"/>
      <c r="Q28" s="1716" t="s">
        <v>357</v>
      </c>
      <c r="R28" s="1716" t="s">
        <v>555</v>
      </c>
      <c r="S28" s="1716" t="s">
        <v>237</v>
      </c>
      <c r="T28" s="1726" t="s">
        <v>811</v>
      </c>
      <c r="U28" s="14"/>
      <c r="V28" s="14"/>
      <c r="W28" s="14"/>
      <c r="X28" s="14"/>
      <c r="Y28" s="14"/>
      <c r="Z28" s="14"/>
      <c r="AA28" s="14"/>
      <c r="AC28" s="1704"/>
    </row>
    <row r="29" spans="1:29">
      <c r="C29" s="1746"/>
      <c r="D29" s="1721"/>
      <c r="E29" s="1706"/>
      <c r="F29" s="1721"/>
      <c r="G29" s="1737"/>
      <c r="H29" s="1708"/>
      <c r="I29" s="1769"/>
      <c r="J29" s="1769"/>
      <c r="K29" s="1728"/>
      <c r="L29" s="1728"/>
      <c r="M29" s="1728"/>
      <c r="N29" s="1729"/>
      <c r="O29" s="567"/>
      <c r="P29" s="1688"/>
      <c r="Q29" s="1739"/>
      <c r="R29" s="1739"/>
      <c r="S29" s="1739"/>
      <c r="T29" s="1739"/>
      <c r="U29" s="14"/>
      <c r="V29" s="14"/>
      <c r="W29" s="14"/>
      <c r="X29" s="14"/>
      <c r="Y29" s="14"/>
      <c r="Z29" s="14"/>
      <c r="AA29" s="14"/>
      <c r="AC29" s="1704"/>
    </row>
    <row r="30" spans="1:29">
      <c r="C30" s="1746"/>
      <c r="D30" s="1722"/>
      <c r="E30" s="1707"/>
      <c r="F30" s="1707"/>
      <c r="G30" s="1737"/>
      <c r="H30" s="1708"/>
      <c r="I30" s="1769"/>
      <c r="J30" s="1730"/>
      <c r="K30" s="1693"/>
      <c r="L30" s="1693"/>
      <c r="M30" s="1693"/>
      <c r="N30" s="1730"/>
      <c r="O30" s="567"/>
      <c r="P30" s="1688"/>
      <c r="Q30" s="1739"/>
      <c r="R30" s="1739"/>
      <c r="S30" s="1739"/>
      <c r="T30" s="1739"/>
      <c r="U30" s="14"/>
      <c r="V30" s="14"/>
      <c r="W30" s="14"/>
      <c r="X30" s="14"/>
      <c r="Y30" s="14"/>
      <c r="Z30" s="14"/>
      <c r="AA30" s="14"/>
      <c r="AC30" s="1704"/>
    </row>
    <row r="31" spans="1:29">
      <c r="C31" s="1746"/>
      <c r="D31" s="1722"/>
      <c r="E31" s="1707"/>
      <c r="F31" s="1707"/>
      <c r="G31" s="1737"/>
      <c r="H31" s="1708"/>
      <c r="I31" s="1769"/>
      <c r="J31" s="1730"/>
      <c r="K31" s="1693"/>
      <c r="L31" s="1693"/>
      <c r="M31" s="1693"/>
      <c r="N31" s="1730"/>
      <c r="O31" s="567"/>
      <c r="P31" s="1688"/>
      <c r="Q31" s="1739"/>
      <c r="R31" s="1739"/>
      <c r="S31" s="1739"/>
      <c r="T31" s="1739"/>
      <c r="U31" s="14"/>
      <c r="V31" s="14"/>
      <c r="W31" s="14"/>
      <c r="X31" s="14"/>
      <c r="Y31" s="14"/>
      <c r="Z31" s="14"/>
      <c r="AA31" s="14"/>
      <c r="AC31" s="1704"/>
    </row>
    <row r="32" spans="1:29">
      <c r="C32" s="1746"/>
      <c r="D32" s="1722"/>
      <c r="E32" s="1707"/>
      <c r="F32" s="1707"/>
      <c r="G32" s="1737"/>
      <c r="H32" s="1708"/>
      <c r="I32" s="1769"/>
      <c r="J32" s="1730"/>
      <c r="K32" s="1693"/>
      <c r="L32" s="1693"/>
      <c r="M32" s="1693"/>
      <c r="N32" s="1730"/>
      <c r="O32" s="567"/>
      <c r="P32" s="1688"/>
      <c r="Q32" s="1739"/>
      <c r="R32" s="1739"/>
      <c r="S32" s="1739"/>
      <c r="T32" s="1739"/>
      <c r="U32" s="14"/>
      <c r="V32" s="14"/>
      <c r="W32" s="14"/>
      <c r="X32" s="14"/>
      <c r="Y32" s="14"/>
      <c r="Z32" s="14"/>
      <c r="AA32" s="14"/>
      <c r="AC32" s="1704"/>
    </row>
    <row r="33" spans="1:29">
      <c r="C33" s="1746"/>
      <c r="D33" s="1722"/>
      <c r="E33" s="1707"/>
      <c r="F33" s="1707"/>
      <c r="G33" s="1737"/>
      <c r="H33" s="1708"/>
      <c r="I33" s="1769"/>
      <c r="J33" s="1730"/>
      <c r="K33" s="1693"/>
      <c r="L33" s="1693"/>
      <c r="M33" s="1693"/>
      <c r="N33" s="1730"/>
      <c r="O33" s="567"/>
      <c r="P33" s="1688"/>
      <c r="Q33" s="1739"/>
      <c r="R33" s="1739"/>
      <c r="S33" s="1739"/>
      <c r="T33" s="1739"/>
      <c r="U33" s="14"/>
      <c r="V33" s="14"/>
      <c r="W33" s="14"/>
      <c r="X33" s="14"/>
      <c r="Y33" s="14"/>
      <c r="Z33" s="14"/>
      <c r="AA33" s="14"/>
      <c r="AC33" s="1704"/>
    </row>
    <row r="34" spans="1:29">
      <c r="C34" s="1746"/>
      <c r="D34" s="1722"/>
      <c r="E34" s="1707"/>
      <c r="F34" s="1707"/>
      <c r="G34" s="1737"/>
      <c r="H34" s="1708"/>
      <c r="I34" s="1769"/>
      <c r="J34" s="1730"/>
      <c r="K34" s="1693"/>
      <c r="L34" s="1693"/>
      <c r="M34" s="1693"/>
      <c r="N34" s="1730"/>
      <c r="O34" s="567"/>
      <c r="P34" s="1688"/>
      <c r="Q34" s="1739"/>
      <c r="R34" s="1739"/>
      <c r="S34" s="1739"/>
      <c r="T34" s="1739"/>
      <c r="U34" s="14"/>
      <c r="V34" s="14"/>
      <c r="W34" s="14"/>
      <c r="X34" s="14"/>
      <c r="Y34" s="14"/>
      <c r="Z34" s="14"/>
      <c r="AA34" s="14"/>
      <c r="AC34" s="1704"/>
    </row>
    <row r="35" spans="1:29">
      <c r="A35" s="596">
        <f>A22+1</f>
        <v>9</v>
      </c>
      <c r="B35" s="911">
        <f>B22+1</f>
        <v>9</v>
      </c>
      <c r="C35" s="306" t="s">
        <v>115</v>
      </c>
      <c r="D35" s="1205">
        <v>32</v>
      </c>
      <c r="E35" s="1205">
        <f>2*D35</f>
        <v>64</v>
      </c>
      <c r="F35" s="1205">
        <f>2*37</f>
        <v>74</v>
      </c>
      <c r="G35" s="1209">
        <f>F35*1.15</f>
        <v>85.1</v>
      </c>
      <c r="H35" s="583">
        <f>0.23*E35</f>
        <v>14.72</v>
      </c>
      <c r="I35" s="303">
        <f>0.5*(0.26*E35*1.1)</f>
        <v>9.152000000000001</v>
      </c>
      <c r="J35" s="303">
        <f>2*7.75</f>
        <v>15.5</v>
      </c>
      <c r="K35" s="1205">
        <v>30</v>
      </c>
      <c r="L35" s="1208">
        <v>23</v>
      </c>
      <c r="M35" s="1205">
        <f>(2*71)+2*L35</f>
        <v>188</v>
      </c>
      <c r="N35" s="304">
        <f>2*20</f>
        <v>40</v>
      </c>
      <c r="O35" s="567"/>
      <c r="P35" s="306" t="s">
        <v>76</v>
      </c>
      <c r="Q35" s="304">
        <f>H35</f>
        <v>14.72</v>
      </c>
      <c r="R35" s="304">
        <f>N35</f>
        <v>40</v>
      </c>
      <c r="S35" s="304">
        <f>J35</f>
        <v>15.5</v>
      </c>
      <c r="T35" s="422">
        <f>M35-G35</f>
        <v>102.9</v>
      </c>
      <c r="U35" s="14"/>
      <c r="V35" s="14"/>
      <c r="W35" s="14"/>
      <c r="X35" s="14"/>
      <c r="Y35" s="14"/>
      <c r="Z35" s="14"/>
      <c r="AA35" s="14"/>
      <c r="AC35" s="1145">
        <f>B35</f>
        <v>9</v>
      </c>
    </row>
    <row r="36" spans="1:29">
      <c r="A36" s="596">
        <f t="shared" ref="A36:B39" si="15">A35+1</f>
        <v>10</v>
      </c>
      <c r="B36" s="911">
        <f t="shared" si="15"/>
        <v>10</v>
      </c>
      <c r="C36" s="306" t="s">
        <v>116</v>
      </c>
      <c r="D36" s="1205">
        <v>36</v>
      </c>
      <c r="E36" s="1205">
        <f>2*D36</f>
        <v>72</v>
      </c>
      <c r="F36" s="1205">
        <f>2*41</f>
        <v>82</v>
      </c>
      <c r="G36" s="1209">
        <f>F36*1.15</f>
        <v>94.3</v>
      </c>
      <c r="H36" s="583">
        <f t="shared" ref="H36:H39" si="16">0.23*E36</f>
        <v>16.560000000000002</v>
      </c>
      <c r="I36" s="303">
        <f>0.5*(0.26*E36*1.1)</f>
        <v>10.295999999999999</v>
      </c>
      <c r="J36" s="303">
        <f>2*7.75</f>
        <v>15.5</v>
      </c>
      <c r="K36" s="1205">
        <v>33</v>
      </c>
      <c r="L36" s="1208">
        <f>41-19</f>
        <v>22</v>
      </c>
      <c r="M36" s="1205">
        <f>(2*71)+2*L36</f>
        <v>186</v>
      </c>
      <c r="N36" s="304">
        <f>2*21</f>
        <v>42</v>
      </c>
      <c r="O36" s="567"/>
      <c r="P36" s="577" t="s">
        <v>1159</v>
      </c>
      <c r="Q36" s="304">
        <f>H36</f>
        <v>16.560000000000002</v>
      </c>
      <c r="R36" s="304">
        <f>N36</f>
        <v>42</v>
      </c>
      <c r="S36" s="304">
        <f>J36</f>
        <v>15.5</v>
      </c>
      <c r="T36" s="422">
        <f>M36-G36</f>
        <v>91.7</v>
      </c>
      <c r="U36" s="14"/>
      <c r="V36" s="14"/>
      <c r="W36" s="14"/>
      <c r="X36" s="14"/>
      <c r="Y36" s="14"/>
      <c r="Z36" s="14"/>
      <c r="AA36" s="14"/>
      <c r="AC36" s="1145">
        <f t="shared" ref="AC36:AC39" si="17">B36</f>
        <v>10</v>
      </c>
    </row>
    <row r="37" spans="1:29">
      <c r="A37" s="596">
        <f t="shared" si="15"/>
        <v>11</v>
      </c>
      <c r="B37" s="911">
        <f t="shared" si="15"/>
        <v>11</v>
      </c>
      <c r="C37" s="306" t="s">
        <v>117</v>
      </c>
      <c r="D37" s="1205">
        <v>62</v>
      </c>
      <c r="E37" s="1205">
        <f>2*D37</f>
        <v>124</v>
      </c>
      <c r="F37" s="1205">
        <f>2*61</f>
        <v>122</v>
      </c>
      <c r="G37" s="1209">
        <f>F37*1.15</f>
        <v>140.29999999999998</v>
      </c>
      <c r="H37" s="583">
        <f t="shared" si="16"/>
        <v>28.52</v>
      </c>
      <c r="I37" s="303">
        <f>0.5*(0.26*E37*1.1)</f>
        <v>17.732000000000003</v>
      </c>
      <c r="J37" s="303">
        <f>2*10.75</f>
        <v>21.5</v>
      </c>
      <c r="K37" s="1205">
        <v>33</v>
      </c>
      <c r="L37" s="1205">
        <f>200-124</f>
        <v>76</v>
      </c>
      <c r="M37" s="1205">
        <f>(2*71)+2*L37</f>
        <v>294</v>
      </c>
      <c r="N37" s="304">
        <f>2*34</f>
        <v>68</v>
      </c>
      <c r="O37" s="567"/>
      <c r="P37" s="577" t="s">
        <v>559</v>
      </c>
      <c r="Q37" s="304">
        <f>H37</f>
        <v>28.52</v>
      </c>
      <c r="R37" s="304">
        <f>N37</f>
        <v>68</v>
      </c>
      <c r="S37" s="304">
        <f>J37</f>
        <v>21.5</v>
      </c>
      <c r="T37" s="422">
        <f>M37-G37</f>
        <v>153.70000000000002</v>
      </c>
      <c r="U37" s="14"/>
      <c r="V37" s="14"/>
      <c r="W37" s="14"/>
      <c r="X37" s="14"/>
      <c r="Y37" s="14"/>
      <c r="Z37" s="14"/>
      <c r="AA37" s="14"/>
      <c r="AC37" s="1145">
        <f t="shared" si="17"/>
        <v>11</v>
      </c>
    </row>
    <row r="38" spans="1:29">
      <c r="A38" s="596">
        <f t="shared" si="15"/>
        <v>12</v>
      </c>
      <c r="B38" s="911">
        <f t="shared" si="15"/>
        <v>12</v>
      </c>
      <c r="C38" s="306" t="s">
        <v>118</v>
      </c>
      <c r="D38" s="1205">
        <v>48</v>
      </c>
      <c r="E38" s="1205">
        <f>2*D38</f>
        <v>96</v>
      </c>
      <c r="F38" s="1205">
        <f>2*62</f>
        <v>124</v>
      </c>
      <c r="G38" s="1209">
        <f>F38*1.15</f>
        <v>142.6</v>
      </c>
      <c r="H38" s="583">
        <f t="shared" si="16"/>
        <v>22.080000000000002</v>
      </c>
      <c r="I38" s="303">
        <f>0.5*(0.26*E38*1.1)</f>
        <v>13.728000000000002</v>
      </c>
      <c r="J38" s="303">
        <f>2*9.75</f>
        <v>19.5</v>
      </c>
      <c r="K38" s="1205">
        <v>48</v>
      </c>
      <c r="L38" s="1205">
        <v>41</v>
      </c>
      <c r="M38" s="1205">
        <f>(2*71)+2*L38</f>
        <v>224</v>
      </c>
      <c r="N38" s="304">
        <f>2*24</f>
        <v>48</v>
      </c>
      <c r="O38" s="567"/>
      <c r="P38" s="577" t="s">
        <v>1160</v>
      </c>
      <c r="Q38" s="304">
        <f>H38</f>
        <v>22.080000000000002</v>
      </c>
      <c r="R38" s="304">
        <f>N38</f>
        <v>48</v>
      </c>
      <c r="S38" s="304">
        <f>J38</f>
        <v>19.5</v>
      </c>
      <c r="T38" s="422">
        <f>M38-G38</f>
        <v>81.400000000000006</v>
      </c>
      <c r="U38" s="14"/>
      <c r="V38" s="14"/>
      <c r="W38" s="14"/>
      <c r="X38" s="14"/>
      <c r="Y38" s="14"/>
      <c r="Z38" s="14"/>
      <c r="AA38" s="14"/>
      <c r="AC38" s="1145">
        <f t="shared" si="17"/>
        <v>12</v>
      </c>
    </row>
    <row r="39" spans="1:29">
      <c r="A39" s="596">
        <f t="shared" si="15"/>
        <v>13</v>
      </c>
      <c r="B39" s="911">
        <f t="shared" si="15"/>
        <v>13</v>
      </c>
      <c r="C39" s="306" t="s">
        <v>119</v>
      </c>
      <c r="D39" s="1205">
        <v>50</v>
      </c>
      <c r="E39" s="1205">
        <f>2*D39</f>
        <v>100</v>
      </c>
      <c r="F39" s="1205">
        <f>2*47</f>
        <v>94</v>
      </c>
      <c r="G39" s="1209">
        <f>F39*1.15</f>
        <v>108.1</v>
      </c>
      <c r="H39" s="583">
        <f t="shared" si="16"/>
        <v>23</v>
      </c>
      <c r="I39" s="303">
        <f>0.5*(0.26*E39*1.1)</f>
        <v>14.3</v>
      </c>
      <c r="J39" s="303">
        <f>2*12.5</f>
        <v>25</v>
      </c>
      <c r="K39" s="1205">
        <v>51</v>
      </c>
      <c r="L39" s="1205">
        <f>246-220</f>
        <v>26</v>
      </c>
      <c r="M39" s="1205">
        <f>(2*71)+2*L39</f>
        <v>194</v>
      </c>
      <c r="N39" s="304">
        <f>2*34</f>
        <v>68</v>
      </c>
      <c r="O39" s="567"/>
      <c r="P39" s="577" t="s">
        <v>558</v>
      </c>
      <c r="Q39" s="304">
        <f>H39</f>
        <v>23</v>
      </c>
      <c r="R39" s="304">
        <f>N39</f>
        <v>68</v>
      </c>
      <c r="S39" s="304">
        <f>J39</f>
        <v>25</v>
      </c>
      <c r="T39" s="422">
        <f>M39-G39</f>
        <v>85.9</v>
      </c>
      <c r="U39" s="14"/>
      <c r="V39" s="14"/>
      <c r="W39" s="14"/>
      <c r="X39" s="14"/>
      <c r="Y39" s="14"/>
      <c r="Z39" s="14"/>
      <c r="AA39" s="14"/>
      <c r="AC39" s="1145">
        <f t="shared" si="17"/>
        <v>13</v>
      </c>
    </row>
    <row r="40" spans="1:29" ht="330" customHeight="1">
      <c r="C40" s="309"/>
      <c r="D40" s="1699" t="s">
        <v>854</v>
      </c>
      <c r="E40" s="1700"/>
      <c r="F40" s="1185" t="s">
        <v>855</v>
      </c>
      <c r="G40" s="912" t="s">
        <v>856</v>
      </c>
      <c r="H40" s="1191" t="s">
        <v>193</v>
      </c>
      <c r="I40" s="1184" t="s">
        <v>193</v>
      </c>
      <c r="J40" s="564" t="s">
        <v>858</v>
      </c>
      <c r="K40" s="1226" t="s">
        <v>857</v>
      </c>
      <c r="L40" s="1184" t="s">
        <v>552</v>
      </c>
      <c r="M40" s="1183" t="s">
        <v>859</v>
      </c>
      <c r="N40" s="1227" t="s">
        <v>554</v>
      </c>
      <c r="O40" s="1774"/>
      <c r="P40" s="14"/>
      <c r="Q40" s="14"/>
      <c r="R40" s="14"/>
      <c r="S40" s="14"/>
      <c r="T40" s="14"/>
      <c r="U40" s="14"/>
      <c r="V40" s="14"/>
      <c r="W40" s="14"/>
      <c r="X40" s="14"/>
      <c r="Y40" s="14"/>
      <c r="Z40" s="14"/>
      <c r="AA40" s="14"/>
    </row>
    <row r="41" spans="1:29">
      <c r="C41" s="309"/>
      <c r="D41" s="573"/>
      <c r="E41" s="574"/>
      <c r="F41" s="575"/>
      <c r="G41" s="575"/>
      <c r="H41" s="575"/>
      <c r="I41" s="581"/>
      <c r="J41" s="582"/>
      <c r="K41" s="576"/>
      <c r="L41" s="575"/>
      <c r="M41" s="314"/>
      <c r="N41" s="575"/>
      <c r="O41" s="1774"/>
      <c r="P41" s="14"/>
      <c r="Q41" s="14"/>
      <c r="R41" s="14"/>
      <c r="S41" s="14"/>
      <c r="T41" s="509" t="s">
        <v>105</v>
      </c>
      <c r="U41" s="14"/>
      <c r="V41" s="14"/>
      <c r="W41" s="14"/>
      <c r="X41" s="14"/>
      <c r="Y41" s="14"/>
      <c r="Z41" s="14"/>
      <c r="AA41" s="14"/>
    </row>
    <row r="42" spans="1:29">
      <c r="C42" s="309"/>
      <c r="D42" s="573"/>
      <c r="E42" s="574"/>
      <c r="F42" s="575"/>
      <c r="G42" s="575"/>
      <c r="H42" s="575"/>
      <c r="I42" s="581"/>
      <c r="J42" s="582"/>
      <c r="K42" s="576"/>
      <c r="L42" s="575"/>
      <c r="M42" s="314"/>
      <c r="N42" s="575"/>
      <c r="O42" s="1774"/>
      <c r="P42" s="14"/>
      <c r="Q42" s="14"/>
      <c r="R42" s="14"/>
      <c r="S42" s="14"/>
      <c r="T42" s="509" t="s">
        <v>105</v>
      </c>
      <c r="U42" s="14"/>
      <c r="V42" s="14"/>
      <c r="W42" s="14"/>
      <c r="X42" s="14"/>
      <c r="Y42" s="14"/>
      <c r="Z42" s="14"/>
      <c r="AA42" s="14"/>
    </row>
    <row r="43" spans="1:29">
      <c r="D43" s="573"/>
      <c r="E43" s="574"/>
      <c r="F43" s="575"/>
      <c r="G43" s="575"/>
      <c r="H43" s="575"/>
      <c r="I43" s="581"/>
      <c r="J43" s="582"/>
      <c r="K43" s="576"/>
      <c r="L43" s="575"/>
      <c r="M43" s="314"/>
      <c r="N43" s="575"/>
      <c r="O43" s="1774"/>
    </row>
    <row r="44" spans="1:29">
      <c r="D44" s="573"/>
      <c r="E44" s="574"/>
      <c r="F44" s="575"/>
      <c r="G44" s="575"/>
      <c r="H44" s="575"/>
      <c r="I44" s="581"/>
      <c r="J44" s="582"/>
      <c r="K44" s="576"/>
      <c r="L44" s="575"/>
      <c r="M44" s="314"/>
      <c r="N44" s="575"/>
      <c r="O44" s="1774"/>
    </row>
    <row r="45" spans="1:29">
      <c r="D45" s="573"/>
      <c r="E45" s="574"/>
      <c r="F45" s="575"/>
      <c r="G45" s="575"/>
      <c r="H45" s="575"/>
      <c r="I45" s="581"/>
      <c r="J45" s="582"/>
      <c r="K45" s="576"/>
      <c r="L45" s="575"/>
      <c r="M45" s="314"/>
      <c r="N45" s="575"/>
      <c r="O45" s="1774"/>
    </row>
    <row r="46" spans="1:29">
      <c r="D46" s="573"/>
      <c r="E46" s="574"/>
      <c r="F46" s="575"/>
      <c r="G46" s="575"/>
      <c r="H46" s="575"/>
      <c r="I46" s="581"/>
      <c r="J46" s="582"/>
      <c r="K46" s="576"/>
      <c r="L46" s="575"/>
      <c r="M46" s="314"/>
      <c r="N46" s="575"/>
      <c r="O46" s="1774"/>
    </row>
    <row r="47" spans="1:29">
      <c r="D47" s="573"/>
      <c r="E47" s="574"/>
      <c r="F47" s="575"/>
      <c r="G47" s="575"/>
      <c r="H47" s="575"/>
      <c r="I47" s="581"/>
      <c r="J47" s="582"/>
      <c r="K47" s="576"/>
      <c r="L47" s="575"/>
      <c r="M47" s="314"/>
      <c r="N47" s="575"/>
      <c r="O47" s="1774"/>
    </row>
    <row r="48" spans="1:29">
      <c r="D48" s="573"/>
      <c r="E48" s="574"/>
      <c r="F48" s="575"/>
      <c r="G48" s="575"/>
      <c r="H48" s="575"/>
      <c r="I48" s="581"/>
      <c r="J48" s="582"/>
      <c r="K48" s="576"/>
      <c r="L48" s="575"/>
      <c r="M48" s="314"/>
      <c r="N48" s="575"/>
      <c r="O48" s="1774"/>
    </row>
    <row r="49" spans="4:15">
      <c r="D49" s="573"/>
      <c r="E49" s="574"/>
      <c r="F49" s="575"/>
      <c r="G49" s="575"/>
      <c r="H49" s="575"/>
      <c r="I49" s="581"/>
      <c r="J49" s="582"/>
      <c r="K49" s="576"/>
      <c r="L49" s="575"/>
      <c r="M49" s="575" t="s">
        <v>172</v>
      </c>
      <c r="N49" s="575"/>
      <c r="O49" s="1774"/>
    </row>
    <row r="50" spans="4:15">
      <c r="D50" s="573"/>
      <c r="E50" s="574"/>
      <c r="F50" s="575"/>
      <c r="G50" s="575"/>
      <c r="H50" s="575"/>
      <c r="I50" s="581"/>
      <c r="J50" s="582"/>
      <c r="K50" s="576"/>
      <c r="L50" s="575"/>
      <c r="M50" s="575"/>
      <c r="N50" s="575"/>
      <c r="O50" s="1774"/>
    </row>
    <row r="51" spans="4:15">
      <c r="D51" s="573"/>
      <c r="E51" s="574"/>
      <c r="F51" s="575"/>
      <c r="G51" s="575"/>
      <c r="H51" s="575"/>
      <c r="I51" s="575"/>
      <c r="J51" s="575"/>
      <c r="K51" s="576"/>
      <c r="L51" s="575"/>
      <c r="M51" s="575"/>
      <c r="N51" s="575"/>
      <c r="O51" s="1774"/>
    </row>
    <row r="52" spans="4:15">
      <c r="D52" s="573"/>
      <c r="E52" s="574"/>
      <c r="F52" s="575"/>
      <c r="G52" s="575"/>
      <c r="H52" s="575"/>
      <c r="I52" s="575"/>
      <c r="J52" s="575"/>
      <c r="K52" s="576"/>
      <c r="L52" s="575"/>
      <c r="M52" s="575"/>
      <c r="N52" s="575"/>
      <c r="O52" s="1774"/>
    </row>
    <row r="53" spans="4:15">
      <c r="D53" s="573"/>
      <c r="E53" s="574"/>
      <c r="F53" s="575"/>
      <c r="G53" s="575"/>
      <c r="H53" s="575"/>
      <c r="I53" s="575"/>
      <c r="J53" s="575"/>
      <c r="K53" s="576"/>
      <c r="L53" s="575"/>
      <c r="M53" s="575"/>
      <c r="N53" s="575"/>
      <c r="O53" s="1774"/>
    </row>
    <row r="54" spans="4:15">
      <c r="D54" s="573"/>
      <c r="E54" s="574"/>
      <c r="F54" s="575"/>
      <c r="G54" s="575"/>
      <c r="H54" s="575"/>
      <c r="I54" s="575"/>
      <c r="J54" s="575"/>
      <c r="K54" s="576"/>
      <c r="L54" s="575"/>
      <c r="M54" s="575"/>
      <c r="N54" s="575"/>
      <c r="O54" s="1774"/>
    </row>
    <row r="55" spans="4:15">
      <c r="D55" s="573"/>
      <c r="E55" s="574"/>
      <c r="F55" s="575"/>
      <c r="G55" s="575"/>
      <c r="H55" s="575"/>
      <c r="I55" s="575"/>
      <c r="J55" s="575"/>
      <c r="K55" s="576"/>
      <c r="L55" s="575"/>
      <c r="M55" s="575"/>
      <c r="N55" s="575"/>
      <c r="O55" s="1774"/>
    </row>
    <row r="56" spans="4:15">
      <c r="D56" s="573"/>
      <c r="E56" s="574"/>
      <c r="F56" s="575"/>
      <c r="G56" s="575"/>
      <c r="H56" s="575"/>
      <c r="I56" s="575"/>
      <c r="J56" s="575"/>
      <c r="K56" s="576"/>
      <c r="L56" s="575"/>
      <c r="M56" s="575"/>
      <c r="N56" s="575"/>
      <c r="O56" s="1774"/>
    </row>
    <row r="57" spans="4:15">
      <c r="D57" s="573"/>
      <c r="E57" s="574"/>
      <c r="F57" s="575"/>
      <c r="G57" s="575"/>
      <c r="H57" s="575"/>
      <c r="I57" s="575"/>
      <c r="J57" s="575"/>
      <c r="K57" s="576"/>
      <c r="L57" s="575"/>
      <c r="M57" s="575"/>
      <c r="N57" s="575"/>
      <c r="O57" s="1774"/>
    </row>
    <row r="58" spans="4:15">
      <c r="D58" s="573"/>
      <c r="E58" s="574"/>
      <c r="F58" s="575"/>
      <c r="G58" s="575"/>
      <c r="H58" s="575"/>
      <c r="I58" s="575"/>
      <c r="J58" s="575"/>
      <c r="K58" s="576"/>
      <c r="L58" s="575"/>
      <c r="M58" s="575"/>
      <c r="N58" s="575"/>
      <c r="O58" s="1774"/>
    </row>
  </sheetData>
  <mergeCells count="53">
    <mergeCell ref="D40:E40"/>
    <mergeCell ref="C2:W2"/>
    <mergeCell ref="A2:A3"/>
    <mergeCell ref="B2:B3"/>
    <mergeCell ref="D3:I3"/>
    <mergeCell ref="K3:N3"/>
    <mergeCell ref="O40:O58"/>
    <mergeCell ref="J28:J34"/>
    <mergeCell ref="K28:K34"/>
    <mergeCell ref="L28:L34"/>
    <mergeCell ref="N28:N34"/>
    <mergeCell ref="M28:M34"/>
    <mergeCell ref="K5:N5"/>
    <mergeCell ref="S15:S16"/>
    <mergeCell ref="T28:T34"/>
    <mergeCell ref="I13:J13"/>
    <mergeCell ref="Q15:Q16"/>
    <mergeCell ref="R15:R16"/>
    <mergeCell ref="R28:R34"/>
    <mergeCell ref="N15:N16"/>
    <mergeCell ref="P28:P34"/>
    <mergeCell ref="T15:T16"/>
    <mergeCell ref="C28:C34"/>
    <mergeCell ref="D28:D34"/>
    <mergeCell ref="E28:E34"/>
    <mergeCell ref="C15:C16"/>
    <mergeCell ref="G28:G34"/>
    <mergeCell ref="G15:G16"/>
    <mergeCell ref="D26:G26"/>
    <mergeCell ref="H15:H16"/>
    <mergeCell ref="S28:S34"/>
    <mergeCell ref="I28:I34"/>
    <mergeCell ref="L15:L16"/>
    <mergeCell ref="K15:K16"/>
    <mergeCell ref="D15:D16"/>
    <mergeCell ref="M15:M16"/>
    <mergeCell ref="K26:N26"/>
    <mergeCell ref="AC27:AC34"/>
    <mergeCell ref="D13:H13"/>
    <mergeCell ref="A1:N1"/>
    <mergeCell ref="D23:E23"/>
    <mergeCell ref="D5:G5"/>
    <mergeCell ref="F15:F16"/>
    <mergeCell ref="E15:E16"/>
    <mergeCell ref="Q28:Q34"/>
    <mergeCell ref="F28:F34"/>
    <mergeCell ref="J15:J16"/>
    <mergeCell ref="P15:P16"/>
    <mergeCell ref="H5:J5"/>
    <mergeCell ref="K13:N13"/>
    <mergeCell ref="H28:H34"/>
    <mergeCell ref="H26:J26"/>
    <mergeCell ref="I15:I16"/>
  </mergeCells>
  <phoneticPr fontId="61"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G1" zoomScale="175" zoomScaleNormal="175" zoomScalePageLayoutView="175" workbookViewId="0">
      <selection activeCell="S30" sqref="S30"/>
    </sheetView>
  </sheetViews>
  <sheetFormatPr baseColWidth="10" defaultColWidth="11" defaultRowHeight="16"/>
  <sheetData/>
  <phoneticPr fontId="6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11" defaultRowHeight="16"/>
  <sheetData/>
  <phoneticPr fontId="61" type="noConversion"/>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1:V1"/>
  <sheetViews>
    <sheetView zoomScale="150" zoomScaleNormal="150" zoomScalePageLayoutView="150" workbookViewId="0">
      <selection activeCell="H36" sqref="H36"/>
    </sheetView>
  </sheetViews>
  <sheetFormatPr baseColWidth="10" defaultColWidth="11" defaultRowHeight="16"/>
  <cols>
    <col min="5" max="5" width="11" style="2"/>
    <col min="17" max="17" width="11" style="1"/>
    <col min="22" max="22" width="11" style="20"/>
  </cols>
  <sheetData/>
  <phoneticPr fontId="6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M1:N1"/>
  <sheetViews>
    <sheetView topLeftCell="F2" zoomScale="200" zoomScaleNormal="200" zoomScalePageLayoutView="200" workbookViewId="0">
      <selection activeCell="L28" sqref="L28"/>
    </sheetView>
  </sheetViews>
  <sheetFormatPr baseColWidth="10" defaultColWidth="10.83203125" defaultRowHeight="16"/>
  <cols>
    <col min="1" max="12" width="10.83203125" style="18"/>
    <col min="13" max="13" width="10.83203125" style="24"/>
    <col min="14" max="14" width="10.83203125" style="25"/>
    <col min="15" max="16384" width="10.83203125" style="18"/>
  </cols>
  <sheetData/>
  <phoneticPr fontId="6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A11" zoomScale="200" zoomScaleNormal="200" zoomScalePageLayoutView="200" workbookViewId="0">
      <selection activeCell="A11" sqref="A1:IV65536"/>
    </sheetView>
  </sheetViews>
  <sheetFormatPr baseColWidth="10" defaultColWidth="11" defaultRowHeight="16"/>
  <sheetData/>
  <phoneticPr fontId="6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M1:R1"/>
  <sheetViews>
    <sheetView topLeftCell="F1" zoomScale="200" zoomScaleNormal="200" zoomScalePageLayoutView="200" workbookViewId="0">
      <selection activeCell="K29" sqref="K29"/>
    </sheetView>
  </sheetViews>
  <sheetFormatPr baseColWidth="10" defaultColWidth="11" defaultRowHeight="16"/>
  <cols>
    <col min="13" max="13" width="11" style="26"/>
    <col min="14" max="14" width="11" style="27"/>
    <col min="17" max="18" width="11" style="8"/>
  </cols>
  <sheetData/>
  <phoneticPr fontId="6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223"/>
  <sheetViews>
    <sheetView topLeftCell="AU182" zoomScaleNormal="100" zoomScalePageLayoutView="150" workbookViewId="0">
      <selection activeCell="C191" sqref="C191:C199"/>
    </sheetView>
  </sheetViews>
  <sheetFormatPr baseColWidth="10" defaultColWidth="11" defaultRowHeight="16"/>
  <cols>
    <col min="1" max="1" width="7.83203125" style="933" customWidth="1"/>
    <col min="2" max="2" width="7.83203125" style="34" customWidth="1"/>
    <col min="3" max="3" width="30.83203125" customWidth="1"/>
    <col min="4" max="4" width="11.1640625" customWidth="1"/>
    <col min="5" max="6" width="11" style="27" customWidth="1"/>
    <col min="7" max="7" width="11.33203125" style="27" customWidth="1"/>
    <col min="8" max="8" width="11" style="27" customWidth="1"/>
    <col min="9" max="9" width="12.33203125" style="27" customWidth="1"/>
    <col min="10" max="10" width="9.6640625" style="27" customWidth="1"/>
    <col min="11" max="11" width="10.5" style="27" customWidth="1"/>
    <col min="12" max="12" width="9.33203125" style="27" customWidth="1"/>
    <col min="13" max="13" width="8.33203125" style="27" customWidth="1"/>
    <col min="14" max="15" width="8.1640625" style="27" customWidth="1"/>
    <col min="16" max="16" width="8.5" style="27" customWidth="1"/>
    <col min="17" max="17" width="8.1640625" style="27" customWidth="1"/>
    <col min="18" max="18" width="11" style="68" customWidth="1"/>
    <col min="19" max="19" width="12.6640625" style="27" customWidth="1"/>
    <col min="20" max="20" width="10.83203125" style="27" customWidth="1"/>
    <col min="21" max="21" width="10.1640625" style="27" customWidth="1"/>
    <col min="22" max="22" width="10.83203125" style="27" customWidth="1"/>
    <col min="23" max="23" width="9.83203125" style="68" customWidth="1"/>
    <col min="24" max="24" width="12.1640625" style="27" customWidth="1"/>
    <col min="25" max="25" width="10.83203125" style="27" customWidth="1"/>
    <col min="26" max="26" width="13.5" style="27" customWidth="1"/>
    <col min="27" max="27" width="8.83203125" style="27" customWidth="1"/>
    <col min="28" max="28" width="9.83203125" style="99" customWidth="1"/>
    <col min="29" max="29" width="10.33203125" style="27" customWidth="1"/>
    <col min="30" max="30" width="9.6640625" style="27" customWidth="1"/>
    <col min="31" max="31" width="13.5" style="27" customWidth="1"/>
    <col min="32" max="32" width="11.1640625" style="27" customWidth="1"/>
    <col min="33" max="33" width="13.5" style="27" customWidth="1"/>
    <col min="34" max="35" width="9" style="27" customWidth="1"/>
    <col min="36" max="37" width="10.83203125" style="27" customWidth="1"/>
    <col min="38" max="38" width="8.6640625" style="27" customWidth="1"/>
    <col min="39" max="39" width="11.1640625" style="27" customWidth="1"/>
    <col min="40" max="40" width="9.33203125" style="68" customWidth="1"/>
    <col min="41" max="41" width="11.33203125" style="68" customWidth="1"/>
    <col min="42" max="42" width="0.6640625" style="1116" customWidth="1"/>
    <col min="43" max="43" width="46" customWidth="1"/>
    <col min="44" max="44" width="8" customWidth="1"/>
    <col min="45" max="46" width="8.5" customWidth="1"/>
    <col min="47" max="47" width="10.33203125" style="96" customWidth="1"/>
    <col min="48" max="48" width="9.33203125" customWidth="1"/>
    <col min="53" max="53" width="10.83203125" customWidth="1"/>
    <col min="54" max="54" width="10.6640625" customWidth="1"/>
    <col min="55" max="55" width="10.83203125" customWidth="1"/>
    <col min="57" max="57" width="11.5" customWidth="1"/>
    <col min="58" max="58" width="11" style="2"/>
    <col min="59" max="59" width="9.5" style="2" customWidth="1"/>
    <col min="60" max="60" width="9.1640625" style="2" customWidth="1"/>
    <col min="61" max="61" width="2.33203125" style="2" customWidth="1"/>
    <col min="62" max="62" width="8.33203125" style="2" customWidth="1"/>
    <col min="63" max="63" width="8.1640625" style="2" customWidth="1"/>
    <col min="64" max="64" width="2.1640625" style="2" customWidth="1"/>
    <col min="65" max="65" width="9.6640625" style="2" customWidth="1"/>
    <col min="66" max="66" width="8.1640625" style="2" customWidth="1"/>
    <col min="67" max="67" width="2.83203125" style="2" customWidth="1"/>
    <col min="68" max="68" width="10.1640625" style="2" customWidth="1"/>
    <col min="69" max="69" width="8.1640625" style="2" customWidth="1"/>
    <col min="70" max="70" width="2.5" style="2" customWidth="1"/>
    <col min="71" max="71" width="10.5" style="2" customWidth="1"/>
    <col min="72" max="72" width="11.1640625" style="2" customWidth="1"/>
    <col min="73" max="73" width="11.1640625" customWidth="1"/>
  </cols>
  <sheetData>
    <row r="1" spans="1:74" ht="19" customHeight="1">
      <c r="C1" s="1875" t="s">
        <v>242</v>
      </c>
      <c r="D1" s="1875"/>
      <c r="E1" s="1875"/>
      <c r="F1" s="1875"/>
      <c r="G1" s="1875"/>
      <c r="H1" s="1875"/>
      <c r="I1" s="1875"/>
      <c r="J1" s="1875"/>
      <c r="K1" s="1875"/>
      <c r="L1" s="1875"/>
      <c r="M1" s="1875"/>
      <c r="N1" s="1875"/>
      <c r="O1" s="1875"/>
      <c r="P1" s="1875"/>
      <c r="Q1" s="1875"/>
      <c r="R1" s="1875"/>
      <c r="S1" s="1875"/>
      <c r="T1" s="1875"/>
      <c r="U1" s="1875"/>
      <c r="V1" s="1875"/>
      <c r="W1" s="1875"/>
      <c r="X1" s="1875"/>
      <c r="Y1" s="1875"/>
      <c r="Z1" s="1875"/>
      <c r="AA1" s="1875"/>
      <c r="AB1" s="1875"/>
      <c r="AC1" s="1875"/>
      <c r="AD1" s="1875"/>
      <c r="AE1" s="1875"/>
      <c r="AF1" s="1875"/>
      <c r="AG1" s="1875"/>
      <c r="AQ1" s="895"/>
      <c r="BF1" s="1645"/>
    </row>
    <row r="2" spans="1:74" s="121" customFormat="1" ht="29" customHeight="1">
      <c r="A2" s="1750" t="s">
        <v>677</v>
      </c>
      <c r="B2" s="1752" t="s">
        <v>676</v>
      </c>
      <c r="C2" s="1893" t="s">
        <v>1207</v>
      </c>
      <c r="D2" s="1894"/>
      <c r="E2" s="1895"/>
      <c r="F2" s="1895"/>
      <c r="G2" s="1895"/>
      <c r="H2" s="1895"/>
      <c r="I2" s="1895"/>
      <c r="J2" s="1895"/>
      <c r="K2" s="1895"/>
      <c r="L2" s="1895"/>
      <c r="M2" s="1895"/>
      <c r="N2" s="1895"/>
      <c r="O2" s="1895"/>
      <c r="P2" s="1895"/>
      <c r="Q2" s="1895"/>
      <c r="R2" s="1895"/>
      <c r="S2" s="1895"/>
      <c r="T2" s="1895"/>
      <c r="U2" s="1895"/>
      <c r="V2" s="1895"/>
      <c r="W2" s="1895"/>
      <c r="X2" s="1896"/>
      <c r="Y2" s="1896"/>
      <c r="Z2" s="1896"/>
      <c r="AA2" s="1896"/>
      <c r="AB2" s="1896"/>
      <c r="AC2" s="1896"/>
      <c r="AD2" s="1896"/>
      <c r="AE2" s="1896"/>
      <c r="AF2" s="1896"/>
      <c r="AG2" s="1896"/>
      <c r="AH2" s="1896"/>
      <c r="AI2" s="1896"/>
      <c r="AJ2" s="1896"/>
      <c r="AK2" s="1896"/>
      <c r="AL2" s="1896"/>
      <c r="AM2" s="1896"/>
      <c r="AN2" s="1896"/>
      <c r="AO2" s="1896"/>
      <c r="AP2" s="1117"/>
      <c r="AR2" s="801"/>
      <c r="AS2" s="801"/>
      <c r="AT2" s="802"/>
      <c r="AU2" s="803"/>
      <c r="AV2" s="803"/>
      <c r="BF2" s="1646"/>
      <c r="BG2" s="1900" t="s">
        <v>1229</v>
      </c>
      <c r="BH2" s="1901"/>
      <c r="BI2" s="1901"/>
      <c r="BJ2" s="1901"/>
      <c r="BK2" s="1901"/>
      <c r="BL2" s="1901"/>
      <c r="BM2" s="1901"/>
      <c r="BN2" s="1901"/>
      <c r="BO2" s="1901"/>
      <c r="BP2" s="1901"/>
      <c r="BQ2" s="1901"/>
      <c r="BR2" s="1901"/>
      <c r="BS2" s="1901"/>
      <c r="BT2" s="1901"/>
    </row>
    <row r="3" spans="1:74" s="1248" customFormat="1" ht="31" customHeight="1">
      <c r="A3" s="1751"/>
      <c r="B3" s="1704"/>
      <c r="C3" s="1249" t="s">
        <v>659</v>
      </c>
      <c r="D3" s="1826" t="s">
        <v>1212</v>
      </c>
      <c r="E3" s="1827"/>
      <c r="F3" s="1827"/>
      <c r="G3" s="1827"/>
      <c r="H3" s="1827"/>
      <c r="I3" s="1827"/>
      <c r="J3" s="1828" t="s">
        <v>1211</v>
      </c>
      <c r="K3" s="1829"/>
      <c r="L3" s="1829"/>
      <c r="M3" s="1829"/>
      <c r="N3" s="1829"/>
      <c r="O3" s="1829"/>
      <c r="P3" s="1829"/>
      <c r="Q3" s="1829"/>
      <c r="R3" s="1250"/>
      <c r="S3" s="1250"/>
      <c r="T3" s="1251"/>
      <c r="U3" s="1251"/>
      <c r="V3" s="1251"/>
      <c r="W3" s="1251"/>
      <c r="X3" s="1251" t="s">
        <v>105</v>
      </c>
      <c r="Y3" s="1251"/>
      <c r="Z3" s="1251"/>
      <c r="AA3" s="1251"/>
      <c r="AB3" s="1251"/>
      <c r="AC3" s="1251"/>
      <c r="AD3" s="1251"/>
      <c r="AE3" s="1251"/>
      <c r="AF3" s="1251"/>
      <c r="AG3" s="1251"/>
      <c r="AH3" s="1251"/>
      <c r="AI3" s="1832" t="s">
        <v>830</v>
      </c>
      <c r="AJ3" s="1833"/>
      <c r="AK3" s="1833"/>
      <c r="AL3" s="1833"/>
      <c r="AM3" s="1833"/>
      <c r="AN3" s="1833"/>
      <c r="AO3" s="1246"/>
      <c r="AP3" s="1247"/>
      <c r="BE3" s="1139" t="s">
        <v>815</v>
      </c>
      <c r="BF3" s="1647"/>
      <c r="BG3" s="1902" t="s">
        <v>1220</v>
      </c>
      <c r="BH3" s="1903"/>
      <c r="BI3" s="928"/>
      <c r="BJ3" s="1902" t="s">
        <v>1221</v>
      </c>
      <c r="BK3" s="1903"/>
      <c r="BL3" s="928"/>
      <c r="BM3" s="1902" t="s">
        <v>1222</v>
      </c>
      <c r="BN3" s="1903"/>
      <c r="BO3" s="928"/>
      <c r="BP3" s="1902" t="s">
        <v>1223</v>
      </c>
      <c r="BQ3" s="1903"/>
      <c r="BR3" s="928"/>
      <c r="BS3" s="1902" t="s">
        <v>1224</v>
      </c>
      <c r="BT3" s="1903"/>
    </row>
    <row r="4" spans="1:74" s="1557" customFormat="1" ht="37" customHeight="1">
      <c r="A4" s="1551"/>
      <c r="B4" s="1565" t="s">
        <v>96</v>
      </c>
      <c r="C4" s="1559" t="s">
        <v>35</v>
      </c>
      <c r="D4" s="1846" t="s">
        <v>644</v>
      </c>
      <c r="E4" s="1847"/>
      <c r="F4" s="1847"/>
      <c r="G4" s="1847"/>
      <c r="H4" s="1847"/>
      <c r="I4" s="1848"/>
      <c r="J4" s="1853" t="s">
        <v>645</v>
      </c>
      <c r="K4" s="1854"/>
      <c r="L4" s="1855"/>
      <c r="M4" s="1855"/>
      <c r="N4" s="1855"/>
      <c r="O4" s="1855"/>
      <c r="P4" s="1856"/>
      <c r="Q4" s="1855"/>
      <c r="R4" s="1844" t="s">
        <v>882</v>
      </c>
      <c r="S4" s="1845"/>
      <c r="T4" s="1786" t="s">
        <v>664</v>
      </c>
      <c r="U4" s="1787"/>
      <c r="V4" s="1787"/>
      <c r="W4" s="1787"/>
      <c r="X4" s="1787"/>
      <c r="Y4" s="1862" t="s">
        <v>648</v>
      </c>
      <c r="Z4" s="1863"/>
      <c r="AA4" s="1552"/>
      <c r="AB4" s="1552"/>
      <c r="AC4" s="1851" t="s">
        <v>162</v>
      </c>
      <c r="AD4" s="1852"/>
      <c r="AE4" s="1852"/>
      <c r="AF4" s="1840" t="s">
        <v>883</v>
      </c>
      <c r="AG4" s="1841"/>
      <c r="AH4" s="1553"/>
      <c r="AI4" s="1554"/>
      <c r="AJ4" s="1849" t="s">
        <v>167</v>
      </c>
      <c r="AK4" s="1849"/>
      <c r="AL4" s="1849"/>
      <c r="AM4" s="1849"/>
      <c r="AN4" s="1850"/>
      <c r="AO4" s="1555"/>
      <c r="AP4" s="1556"/>
      <c r="AU4" s="1558"/>
      <c r="BE4" s="1140" t="s">
        <v>816</v>
      </c>
      <c r="BF4" s="1551"/>
      <c r="BG4" s="1665" t="s">
        <v>1218</v>
      </c>
      <c r="BH4" s="1666" t="s">
        <v>1219</v>
      </c>
      <c r="BI4" s="1631"/>
      <c r="BJ4" s="1665" t="s">
        <v>1218</v>
      </c>
      <c r="BK4" s="1666" t="s">
        <v>1219</v>
      </c>
      <c r="BL4" s="1631"/>
      <c r="BM4" s="1665" t="s">
        <v>1218</v>
      </c>
      <c r="BN4" s="1666" t="s">
        <v>1219</v>
      </c>
      <c r="BO4" s="1631"/>
      <c r="BP4" s="1665" t="s">
        <v>1218</v>
      </c>
      <c r="BQ4" s="1666" t="s">
        <v>1219</v>
      </c>
      <c r="BR4" s="1631"/>
      <c r="BS4" s="1665" t="s">
        <v>1218</v>
      </c>
      <c r="BT4" s="1666" t="s">
        <v>1219</v>
      </c>
    </row>
    <row r="5" spans="1:74">
      <c r="C5" s="505"/>
      <c r="D5" s="109">
        <v>1</v>
      </c>
      <c r="E5" s="50">
        <f>D5+1</f>
        <v>2</v>
      </c>
      <c r="F5" s="50">
        <f>E5+1</f>
        <v>3</v>
      </c>
      <c r="G5" s="50">
        <f t="shared" ref="G5:S5" si="0">F5+1</f>
        <v>4</v>
      </c>
      <c r="H5" s="50">
        <f t="shared" si="0"/>
        <v>5</v>
      </c>
      <c r="I5" s="50">
        <f t="shared" si="0"/>
        <v>6</v>
      </c>
      <c r="J5" s="109">
        <f t="shared" si="0"/>
        <v>7</v>
      </c>
      <c r="K5" s="50">
        <f t="shared" si="0"/>
        <v>8</v>
      </c>
      <c r="L5" s="50">
        <f t="shared" si="0"/>
        <v>9</v>
      </c>
      <c r="M5" s="50">
        <f t="shared" si="0"/>
        <v>10</v>
      </c>
      <c r="N5" s="50">
        <f t="shared" si="0"/>
        <v>11</v>
      </c>
      <c r="O5" s="50">
        <f t="shared" si="0"/>
        <v>12</v>
      </c>
      <c r="P5" s="50">
        <f t="shared" si="0"/>
        <v>13</v>
      </c>
      <c r="Q5" s="50">
        <f t="shared" si="0"/>
        <v>14</v>
      </c>
      <c r="R5" s="1005">
        <f t="shared" si="0"/>
        <v>15</v>
      </c>
      <c r="S5" s="137">
        <f t="shared" si="0"/>
        <v>16</v>
      </c>
      <c r="T5" s="50">
        <f t="shared" ref="T5:AL5" si="1">S5+1</f>
        <v>17</v>
      </c>
      <c r="U5" s="50">
        <f t="shared" si="1"/>
        <v>18</v>
      </c>
      <c r="V5" s="50">
        <f t="shared" si="1"/>
        <v>19</v>
      </c>
      <c r="W5" s="137">
        <f t="shared" si="1"/>
        <v>20</v>
      </c>
      <c r="X5" s="50">
        <f t="shared" si="1"/>
        <v>21</v>
      </c>
      <c r="Y5" s="1005">
        <f t="shared" si="1"/>
        <v>22</v>
      </c>
      <c r="Z5" s="1007">
        <f t="shared" si="1"/>
        <v>23</v>
      </c>
      <c r="AA5" s="109">
        <f t="shared" si="1"/>
        <v>24</v>
      </c>
      <c r="AB5" s="110">
        <f t="shared" si="1"/>
        <v>25</v>
      </c>
      <c r="AC5" s="109">
        <f t="shared" si="1"/>
        <v>26</v>
      </c>
      <c r="AD5" s="50">
        <f t="shared" si="1"/>
        <v>27</v>
      </c>
      <c r="AE5" s="50">
        <f t="shared" si="1"/>
        <v>28</v>
      </c>
      <c r="AF5" s="1005">
        <f t="shared" si="1"/>
        <v>29</v>
      </c>
      <c r="AG5" s="1007">
        <f t="shared" si="1"/>
        <v>30</v>
      </c>
      <c r="AH5" s="150">
        <f t="shared" si="1"/>
        <v>31</v>
      </c>
      <c r="AI5" s="50">
        <f>AH5+1</f>
        <v>32</v>
      </c>
      <c r="AJ5" s="50">
        <f>AI5+1</f>
        <v>33</v>
      </c>
      <c r="AK5" s="50">
        <f t="shared" si="1"/>
        <v>34</v>
      </c>
      <c r="AL5" s="50">
        <f t="shared" si="1"/>
        <v>35</v>
      </c>
      <c r="AM5" s="50">
        <f t="shared" ref="AM5" si="2">AL5+1</f>
        <v>36</v>
      </c>
      <c r="AN5" s="110">
        <f t="shared" ref="AN5" si="3">AM5+1</f>
        <v>37</v>
      </c>
      <c r="AO5" s="50">
        <f t="shared" ref="AO5" si="4">AN5+1</f>
        <v>38</v>
      </c>
      <c r="AP5" s="1119"/>
      <c r="AR5" s="4"/>
      <c r="AS5" s="4"/>
      <c r="AT5" s="4"/>
      <c r="AU5" s="97"/>
      <c r="AV5" s="4"/>
      <c r="AW5" s="4"/>
      <c r="BE5" s="1141" t="s">
        <v>817</v>
      </c>
    </row>
    <row r="6" spans="1:74" ht="128" customHeight="1">
      <c r="C6" s="1233" t="s">
        <v>873</v>
      </c>
      <c r="D6" s="1234" t="s">
        <v>244</v>
      </c>
      <c r="E6" s="1235" t="s">
        <v>245</v>
      </c>
      <c r="F6" s="1235" t="s">
        <v>246</v>
      </c>
      <c r="G6" s="1236" t="s">
        <v>234</v>
      </c>
      <c r="H6" s="805" t="s">
        <v>247</v>
      </c>
      <c r="I6" s="1002" t="s">
        <v>604</v>
      </c>
      <c r="J6" s="1239" t="s">
        <v>864</v>
      </c>
      <c r="K6" s="1240" t="s">
        <v>250</v>
      </c>
      <c r="L6" s="1240" t="s">
        <v>251</v>
      </c>
      <c r="M6" s="1201" t="s">
        <v>252</v>
      </c>
      <c r="N6" s="1240" t="s">
        <v>253</v>
      </c>
      <c r="O6" s="1240" t="s">
        <v>254</v>
      </c>
      <c r="P6" s="1240" t="s">
        <v>255</v>
      </c>
      <c r="Q6" s="1201" t="s">
        <v>415</v>
      </c>
      <c r="R6" s="602" t="s">
        <v>257</v>
      </c>
      <c r="S6" s="400" t="s">
        <v>363</v>
      </c>
      <c r="T6" s="1013" t="s">
        <v>711</v>
      </c>
      <c r="U6" s="1010" t="s">
        <v>259</v>
      </c>
      <c r="V6" s="1010" t="s">
        <v>260</v>
      </c>
      <c r="W6" s="1010" t="s">
        <v>261</v>
      </c>
      <c r="X6" s="872" t="s">
        <v>262</v>
      </c>
      <c r="Y6" s="523" t="s">
        <v>995</v>
      </c>
      <c r="Z6" s="599" t="s">
        <v>996</v>
      </c>
      <c r="AA6" s="1010" t="s">
        <v>265</v>
      </c>
      <c r="AB6" s="1010" t="s">
        <v>266</v>
      </c>
      <c r="AC6" s="1239" t="s">
        <v>627</v>
      </c>
      <c r="AD6" s="1010" t="s">
        <v>268</v>
      </c>
      <c r="AE6" s="1010" t="s">
        <v>269</v>
      </c>
      <c r="AF6" s="186" t="s">
        <v>344</v>
      </c>
      <c r="AG6" s="600" t="s">
        <v>270</v>
      </c>
      <c r="AH6" s="1023" t="s">
        <v>271</v>
      </c>
      <c r="AI6" s="1240" t="s">
        <v>812</v>
      </c>
      <c r="AJ6" s="1264" t="s">
        <v>809</v>
      </c>
      <c r="AK6" s="1547" t="s">
        <v>14</v>
      </c>
      <c r="AL6" s="1235" t="s">
        <v>430</v>
      </c>
      <c r="AM6" s="1010" t="s">
        <v>810</v>
      </c>
      <c r="AN6" s="1002" t="s">
        <v>746</v>
      </c>
      <c r="AO6" s="239" t="s">
        <v>272</v>
      </c>
      <c r="AQ6" s="507" t="s">
        <v>243</v>
      </c>
      <c r="AR6" s="805" t="s">
        <v>357</v>
      </c>
      <c r="AS6" s="988" t="s">
        <v>273</v>
      </c>
      <c r="AT6" s="806" t="s">
        <v>567</v>
      </c>
      <c r="AU6" s="1008" t="s">
        <v>811</v>
      </c>
      <c r="AV6" s="1008" t="s">
        <v>745</v>
      </c>
      <c r="BB6" s="19"/>
      <c r="BC6" s="406"/>
      <c r="BD6" s="44"/>
      <c r="BE6" s="1148" t="s">
        <v>822</v>
      </c>
      <c r="BF6" s="790"/>
      <c r="BG6" s="791"/>
      <c r="BH6" s="1638"/>
      <c r="BI6" s="792"/>
      <c r="BJ6" s="792"/>
      <c r="BS6" s="1648"/>
      <c r="BT6" s="42"/>
      <c r="BU6" s="40"/>
      <c r="BV6" s="41"/>
    </row>
    <row r="7" spans="1:74" s="180" customFormat="1">
      <c r="A7" s="897">
        <v>1</v>
      </c>
      <c r="B7" s="888">
        <v>1</v>
      </c>
      <c r="C7" s="349" t="s">
        <v>862</v>
      </c>
      <c r="D7" s="608">
        <v>112</v>
      </c>
      <c r="E7" s="1237">
        <f>(2*D7)</f>
        <v>224</v>
      </c>
      <c r="F7" s="739">
        <f>(2*107)</f>
        <v>214</v>
      </c>
      <c r="G7" s="656">
        <f>F7*1.15</f>
        <v>246.1</v>
      </c>
      <c r="H7" s="274">
        <f>(E7*(0.23))</f>
        <v>51.52</v>
      </c>
      <c r="I7" s="273">
        <f>0.5*(H7*1.1)</f>
        <v>28.336000000000006</v>
      </c>
      <c r="J7" s="1241" t="s">
        <v>136</v>
      </c>
      <c r="K7" s="1241" t="s">
        <v>136</v>
      </c>
      <c r="L7" s="671">
        <f>214-143</f>
        <v>71</v>
      </c>
      <c r="M7" s="1242" t="s">
        <v>136</v>
      </c>
      <c r="N7" s="1241" t="s">
        <v>136</v>
      </c>
      <c r="O7" s="1241" t="s">
        <v>136</v>
      </c>
      <c r="P7" s="1241" t="s">
        <v>136</v>
      </c>
      <c r="Q7" s="1243">
        <f>SUM(J7:P7)</f>
        <v>71</v>
      </c>
      <c r="R7" s="402">
        <f>2*Q7</f>
        <v>142</v>
      </c>
      <c r="S7" s="690">
        <f>R7+(2*71)</f>
        <v>284</v>
      </c>
      <c r="T7" s="652">
        <v>0</v>
      </c>
      <c r="U7" s="624">
        <v>59</v>
      </c>
      <c r="V7" s="647" t="s">
        <v>136</v>
      </c>
      <c r="W7" s="647" t="s">
        <v>136</v>
      </c>
      <c r="X7" s="623">
        <f>SUM(T7:V7)</f>
        <v>59</v>
      </c>
      <c r="Y7" s="524">
        <f>2*X7</f>
        <v>118</v>
      </c>
      <c r="Z7" s="525">
        <f>(Y7+(23))</f>
        <v>141</v>
      </c>
      <c r="AA7" s="624">
        <f>Z7-H7</f>
        <v>89.47999999999999</v>
      </c>
      <c r="AB7" s="624">
        <f>Z7-I7</f>
        <v>112.66399999999999</v>
      </c>
      <c r="AC7" s="608">
        <f>(187-27)</f>
        <v>160</v>
      </c>
      <c r="AD7" s="624">
        <f>(33.89)+(AC7*0.2095)</f>
        <v>67.41</v>
      </c>
      <c r="AE7" s="623">
        <f>X7-U7+AD7</f>
        <v>67.41</v>
      </c>
      <c r="AF7" s="281">
        <f>2*AE7</f>
        <v>134.82</v>
      </c>
      <c r="AG7" s="369">
        <f>AF7+(23)</f>
        <v>157.82</v>
      </c>
      <c r="AH7" s="659">
        <f>AG7-I7</f>
        <v>129.48399999999998</v>
      </c>
      <c r="AI7" s="1261" t="s">
        <v>762</v>
      </c>
      <c r="AJ7" s="1262">
        <v>240</v>
      </c>
      <c r="AK7" s="1262">
        <f>(2*AJ7)+(2*71)+(2*45)</f>
        <v>712</v>
      </c>
      <c r="AL7" s="1262">
        <f>S7-AK7</f>
        <v>-428</v>
      </c>
      <c r="AM7" s="1030" t="s">
        <v>758</v>
      </c>
      <c r="AN7" s="273">
        <f>906+(23)</f>
        <v>929</v>
      </c>
      <c r="AO7" s="274">
        <f>Z7-AN7</f>
        <v>-788</v>
      </c>
      <c r="AP7" s="1118"/>
      <c r="AQ7" s="355" t="s">
        <v>870</v>
      </c>
      <c r="AR7" s="276">
        <f>H7</f>
        <v>51.52</v>
      </c>
      <c r="AS7" s="183">
        <f>Z7</f>
        <v>141</v>
      </c>
      <c r="AT7" s="183">
        <f>AN7</f>
        <v>929</v>
      </c>
      <c r="AU7" s="733">
        <f>S7-G7</f>
        <v>37.900000000000006</v>
      </c>
      <c r="AV7" s="460">
        <f>S7-AK7</f>
        <v>-428</v>
      </c>
      <c r="BB7" s="355"/>
      <c r="BC7" s="183"/>
      <c r="BD7" s="183"/>
      <c r="BE7" s="1620">
        <f>B7</f>
        <v>1</v>
      </c>
      <c r="BF7" s="278"/>
      <c r="BG7" s="1630"/>
      <c r="BH7" s="1630">
        <v>1</v>
      </c>
      <c r="BI7" s="1630"/>
      <c r="BJ7" s="1630"/>
      <c r="BK7" s="1630"/>
      <c r="BL7" s="1630"/>
      <c r="BM7" s="1630"/>
      <c r="BN7" s="1630"/>
      <c r="BO7" s="1630"/>
      <c r="BP7" s="1630"/>
      <c r="BQ7" s="1630"/>
      <c r="BR7" s="1630"/>
      <c r="BS7" s="1649"/>
      <c r="BT7" s="357"/>
      <c r="BU7" s="358"/>
      <c r="BV7" s="183"/>
    </row>
    <row r="8" spans="1:74" s="298" customFormat="1">
      <c r="A8" s="896">
        <f>A7+1</f>
        <v>2</v>
      </c>
      <c r="B8" s="888">
        <f>B7+1</f>
        <v>2</v>
      </c>
      <c r="C8" s="349" t="s">
        <v>178</v>
      </c>
      <c r="D8" s="607">
        <v>128</v>
      </c>
      <c r="E8" s="656">
        <f>(2*D8)</f>
        <v>256</v>
      </c>
      <c r="F8" s="862">
        <f>2*135</f>
        <v>270</v>
      </c>
      <c r="G8" s="656">
        <f>F8*1.15</f>
        <v>310.5</v>
      </c>
      <c r="H8" s="274">
        <f t="shared" ref="H8:H11" si="5">(E8*(0.23))</f>
        <v>58.88</v>
      </c>
      <c r="I8" s="273">
        <f>0.5*(H8*1.1)</f>
        <v>32.384000000000007</v>
      </c>
      <c r="J8" s="1241" t="s">
        <v>136</v>
      </c>
      <c r="K8" s="1241" t="s">
        <v>136</v>
      </c>
      <c r="L8" s="671">
        <f>200-70</f>
        <v>130</v>
      </c>
      <c r="M8" s="1242" t="s">
        <v>136</v>
      </c>
      <c r="N8" s="1241" t="s">
        <v>136</v>
      </c>
      <c r="O8" s="1241" t="s">
        <v>136</v>
      </c>
      <c r="P8" s="1241" t="s">
        <v>136</v>
      </c>
      <c r="Q8" s="671">
        <f>SUM(J8:P8)</f>
        <v>130</v>
      </c>
      <c r="R8" s="402">
        <f>2*Q8</f>
        <v>260</v>
      </c>
      <c r="S8" s="690">
        <f>R8+(2*71)</f>
        <v>402</v>
      </c>
      <c r="T8" s="652">
        <v>0</v>
      </c>
      <c r="U8" s="624">
        <v>61</v>
      </c>
      <c r="V8" s="639" t="s">
        <v>136</v>
      </c>
      <c r="W8" s="639" t="s">
        <v>136</v>
      </c>
      <c r="X8" s="624">
        <f>SUM(T8:V8)</f>
        <v>61</v>
      </c>
      <c r="Y8" s="524">
        <f>2*X8</f>
        <v>122</v>
      </c>
      <c r="Z8" s="525">
        <f>(Y8+(23))</f>
        <v>145</v>
      </c>
      <c r="AA8" s="624">
        <f>Z8-H8</f>
        <v>86.12</v>
      </c>
      <c r="AB8" s="624">
        <f>Z8-I8</f>
        <v>112.61599999999999</v>
      </c>
      <c r="AC8" s="607">
        <f>(187-11)</f>
        <v>176</v>
      </c>
      <c r="AD8" s="624">
        <f t="shared" ref="AD8:AD11" si="6">(33.89)+(AC8*0.2095)</f>
        <v>70.762</v>
      </c>
      <c r="AE8" s="624">
        <f>X8-U8+AD8</f>
        <v>70.762</v>
      </c>
      <c r="AF8" s="281">
        <f>2*AE8</f>
        <v>141.524</v>
      </c>
      <c r="AG8" s="369">
        <f>AF8+(23)</f>
        <v>164.524</v>
      </c>
      <c r="AH8" s="659">
        <f>AG8-I8</f>
        <v>132.13999999999999</v>
      </c>
      <c r="AI8" s="1263" t="s">
        <v>762</v>
      </c>
      <c r="AJ8" s="673">
        <v>240</v>
      </c>
      <c r="AK8" s="1262">
        <f>(2*AJ8)+(2*71)+(2*45)</f>
        <v>712</v>
      </c>
      <c r="AL8" s="673">
        <f>S8-AK8</f>
        <v>-310</v>
      </c>
      <c r="AM8" s="623">
        <v>15</v>
      </c>
      <c r="AN8" s="273">
        <f>906+(23)+AM8</f>
        <v>944</v>
      </c>
      <c r="AO8" s="274">
        <f>Z8-AN8</f>
        <v>-799</v>
      </c>
      <c r="AP8" s="1118"/>
      <c r="AQ8" s="349" t="s">
        <v>37</v>
      </c>
      <c r="AR8" s="276">
        <f>H8</f>
        <v>58.88</v>
      </c>
      <c r="AS8" s="276">
        <f>Z8</f>
        <v>145</v>
      </c>
      <c r="AT8" s="183">
        <f t="shared" ref="AT8:AT11" si="7">AN8</f>
        <v>944</v>
      </c>
      <c r="AU8" s="733">
        <f t="shared" ref="AU8:AU11" si="8">S8-G8</f>
        <v>91.5</v>
      </c>
      <c r="AV8" s="460">
        <f>S8-AK8</f>
        <v>-310</v>
      </c>
      <c r="BB8" s="349"/>
      <c r="BC8" s="276"/>
      <c r="BD8" s="276"/>
      <c r="BE8" s="1620">
        <f t="shared" ref="BE8:BE11" si="9">B8</f>
        <v>2</v>
      </c>
      <c r="BF8" s="317"/>
      <c r="BG8" s="299"/>
      <c r="BH8" s="299">
        <v>1</v>
      </c>
      <c r="BI8" s="299"/>
      <c r="BJ8" s="299"/>
      <c r="BK8" s="299"/>
      <c r="BL8" s="299"/>
      <c r="BM8" s="299"/>
      <c r="BN8" s="299"/>
      <c r="BO8" s="299"/>
      <c r="BP8" s="299"/>
      <c r="BQ8" s="299"/>
      <c r="BR8" s="299"/>
      <c r="BS8" s="301"/>
      <c r="BT8" s="359"/>
      <c r="BU8" s="360"/>
      <c r="BV8" s="276"/>
    </row>
    <row r="9" spans="1:74" s="180" customFormat="1">
      <c r="A9" s="896">
        <f t="shared" ref="A9:A11" si="10">A8+1</f>
        <v>3</v>
      </c>
      <c r="B9" s="878">
        <v>1</v>
      </c>
      <c r="C9" s="349" t="s">
        <v>863</v>
      </c>
      <c r="D9" s="608">
        <v>198</v>
      </c>
      <c r="E9" s="1237">
        <f>(2*D9)</f>
        <v>396</v>
      </c>
      <c r="F9" s="739">
        <f>(2*188)</f>
        <v>376</v>
      </c>
      <c r="G9" s="656">
        <f>F9*1.15</f>
        <v>432.4</v>
      </c>
      <c r="H9" s="274">
        <f t="shared" si="5"/>
        <v>91.08</v>
      </c>
      <c r="I9" s="274">
        <f>0.5*(H9*1.1)</f>
        <v>50.094000000000001</v>
      </c>
      <c r="J9" s="1244" t="s">
        <v>136</v>
      </c>
      <c r="K9" s="1241" t="s">
        <v>136</v>
      </c>
      <c r="L9" s="671">
        <f>265-144</f>
        <v>121</v>
      </c>
      <c r="M9" s="1242" t="s">
        <v>136</v>
      </c>
      <c r="N9" s="1241" t="s">
        <v>136</v>
      </c>
      <c r="O9" s="1241" t="s">
        <v>136</v>
      </c>
      <c r="P9" s="1241" t="s">
        <v>136</v>
      </c>
      <c r="Q9" s="1243">
        <f>SUM(J9:P9)</f>
        <v>121</v>
      </c>
      <c r="R9" s="402">
        <f>2*Q9</f>
        <v>242</v>
      </c>
      <c r="S9" s="690">
        <f>R9+(2*71)</f>
        <v>384</v>
      </c>
      <c r="T9" s="652">
        <v>0</v>
      </c>
      <c r="U9" s="624">
        <v>78</v>
      </c>
      <c r="V9" s="647" t="s">
        <v>136</v>
      </c>
      <c r="W9" s="647" t="s">
        <v>136</v>
      </c>
      <c r="X9" s="623">
        <f>SUM(T9:V9)</f>
        <v>78</v>
      </c>
      <c r="Y9" s="524">
        <f>2*X9</f>
        <v>156</v>
      </c>
      <c r="Z9" s="525">
        <f>(Y9+(23))</f>
        <v>179</v>
      </c>
      <c r="AA9" s="624">
        <f>Z9-H9</f>
        <v>87.92</v>
      </c>
      <c r="AB9" s="624">
        <f>Z9-I9</f>
        <v>128.90600000000001</v>
      </c>
      <c r="AC9" s="607">
        <v>223</v>
      </c>
      <c r="AD9" s="624">
        <f t="shared" si="6"/>
        <v>80.608499999999992</v>
      </c>
      <c r="AE9" s="623">
        <f>X9-U9+AD9</f>
        <v>80.608499999999992</v>
      </c>
      <c r="AF9" s="281">
        <f>2*AE9</f>
        <v>161.21699999999998</v>
      </c>
      <c r="AG9" s="369">
        <f>AF9+(23)</f>
        <v>184.21699999999998</v>
      </c>
      <c r="AH9" s="659">
        <f>AG9-I9</f>
        <v>134.12299999999999</v>
      </c>
      <c r="AI9" s="1263" t="s">
        <v>763</v>
      </c>
      <c r="AJ9" s="1262">
        <v>74</v>
      </c>
      <c r="AK9" s="1262">
        <f>(2*AJ9)+(2*71)+(2*45)</f>
        <v>380</v>
      </c>
      <c r="AL9" s="1262">
        <f>S9-AK9</f>
        <v>4</v>
      </c>
      <c r="AM9" s="623">
        <v>15</v>
      </c>
      <c r="AN9" s="273">
        <f>373+(23)+AM9</f>
        <v>411</v>
      </c>
      <c r="AO9" s="274">
        <f>Z9-AN9</f>
        <v>-232</v>
      </c>
      <c r="AP9" s="1118"/>
      <c r="AQ9" s="355" t="s">
        <v>871</v>
      </c>
      <c r="AR9" s="276">
        <f>H9</f>
        <v>91.08</v>
      </c>
      <c r="AS9" s="183">
        <f>Z9</f>
        <v>179</v>
      </c>
      <c r="AT9" s="183">
        <f t="shared" si="7"/>
        <v>411</v>
      </c>
      <c r="AU9" s="733">
        <f t="shared" si="8"/>
        <v>-48.399999999999977</v>
      </c>
      <c r="AV9" s="460">
        <f>S9-AK9</f>
        <v>4</v>
      </c>
      <c r="BB9" s="355"/>
      <c r="BC9" s="183"/>
      <c r="BD9" s="183"/>
      <c r="BE9" s="1621">
        <f t="shared" si="9"/>
        <v>1</v>
      </c>
      <c r="BF9" s="278"/>
      <c r="BG9" s="1630">
        <v>1</v>
      </c>
      <c r="BH9" s="1630"/>
      <c r="BI9" s="1630"/>
      <c r="BJ9" s="1630"/>
      <c r="BK9" s="1630"/>
      <c r="BL9" s="1630"/>
      <c r="BM9" s="1630"/>
      <c r="BN9" s="1630"/>
      <c r="BO9" s="1630"/>
      <c r="BP9" s="1630"/>
      <c r="BQ9" s="1630"/>
      <c r="BR9" s="1630"/>
      <c r="BS9" s="1649"/>
      <c r="BT9" s="357"/>
      <c r="BU9" s="358"/>
      <c r="BV9" s="183"/>
    </row>
    <row r="10" spans="1:74" s="318" customFormat="1" ht="15" customHeight="1">
      <c r="A10" s="896">
        <f t="shared" si="10"/>
        <v>4</v>
      </c>
      <c r="B10" s="878">
        <f>B9+1</f>
        <v>2</v>
      </c>
      <c r="C10" s="344" t="s">
        <v>92</v>
      </c>
      <c r="D10" s="607">
        <v>211</v>
      </c>
      <c r="E10" s="862">
        <f>2*D10</f>
        <v>422</v>
      </c>
      <c r="F10" s="862">
        <f>2*211</f>
        <v>422</v>
      </c>
      <c r="G10" s="656">
        <f>F10*1.15</f>
        <v>485.29999999999995</v>
      </c>
      <c r="H10" s="274">
        <f t="shared" si="5"/>
        <v>97.06</v>
      </c>
      <c r="I10" s="643">
        <f>0.5*(H10*1.1)</f>
        <v>53.383000000000003</v>
      </c>
      <c r="J10" s="1244" t="s">
        <v>136</v>
      </c>
      <c r="K10" s="1241" t="s">
        <v>136</v>
      </c>
      <c r="L10" s="862">
        <f>311-144</f>
        <v>167</v>
      </c>
      <c r="M10" s="1242" t="s">
        <v>136</v>
      </c>
      <c r="N10" s="1241" t="s">
        <v>136</v>
      </c>
      <c r="O10" s="1241" t="s">
        <v>136</v>
      </c>
      <c r="P10" s="1241" t="s">
        <v>136</v>
      </c>
      <c r="Q10" s="862">
        <f>SUM(J10:P10)</f>
        <v>167</v>
      </c>
      <c r="R10" s="402">
        <f>2*Q10</f>
        <v>334</v>
      </c>
      <c r="S10" s="611">
        <f>R10+(2*71)</f>
        <v>476</v>
      </c>
      <c r="T10" s="644">
        <v>0</v>
      </c>
      <c r="U10" s="624">
        <v>80</v>
      </c>
      <c r="V10" s="639" t="s">
        <v>136</v>
      </c>
      <c r="W10" s="639" t="s">
        <v>136</v>
      </c>
      <c r="X10" s="624">
        <f>SUM(T10:W10)</f>
        <v>80</v>
      </c>
      <c r="Y10" s="526">
        <f>2*X10</f>
        <v>160</v>
      </c>
      <c r="Z10" s="525">
        <f>(Y10+(23))</f>
        <v>183</v>
      </c>
      <c r="AA10" s="655">
        <f>Z10-H10</f>
        <v>85.94</v>
      </c>
      <c r="AB10" s="653">
        <f>Z10-I10</f>
        <v>129.61699999999999</v>
      </c>
      <c r="AC10" s="862">
        <v>250</v>
      </c>
      <c r="AD10" s="624">
        <f t="shared" si="6"/>
        <v>86.265000000000001</v>
      </c>
      <c r="AE10" s="624">
        <f>X10-U10+AD10</f>
        <v>86.265000000000001</v>
      </c>
      <c r="AF10" s="434">
        <f>2*AE10</f>
        <v>172.53</v>
      </c>
      <c r="AG10" s="323">
        <f>AF10+(23)</f>
        <v>195.53</v>
      </c>
      <c r="AH10" s="624">
        <f>AG10-I10</f>
        <v>142.14699999999999</v>
      </c>
      <c r="AI10" s="1263" t="s">
        <v>763</v>
      </c>
      <c r="AJ10" s="969">
        <v>74</v>
      </c>
      <c r="AK10" s="1262">
        <f>(2*AJ10)+(2*71)+(2*45)</f>
        <v>380</v>
      </c>
      <c r="AL10" s="673">
        <f>S10-AK10</f>
        <v>96</v>
      </c>
      <c r="AM10" s="623">
        <f>15+15</f>
        <v>30</v>
      </c>
      <c r="AN10" s="273">
        <f>373+(23)+AM10</f>
        <v>426</v>
      </c>
      <c r="AO10" s="273">
        <f>Z10-AN10</f>
        <v>-243</v>
      </c>
      <c r="AP10" s="1120"/>
      <c r="AQ10" s="344" t="s">
        <v>94</v>
      </c>
      <c r="AR10" s="276">
        <f>H10</f>
        <v>97.06</v>
      </c>
      <c r="AS10" s="183">
        <f>Z10</f>
        <v>183</v>
      </c>
      <c r="AT10" s="183">
        <f t="shared" si="7"/>
        <v>426</v>
      </c>
      <c r="AU10" s="733">
        <f t="shared" si="8"/>
        <v>-9.2999999999999545</v>
      </c>
      <c r="AV10" s="460">
        <f>S10-AK10</f>
        <v>96</v>
      </c>
      <c r="BD10" s="319"/>
      <c r="BE10" s="1621">
        <f t="shared" si="9"/>
        <v>2</v>
      </c>
      <c r="BF10" s="278"/>
      <c r="BG10" s="1630">
        <v>1</v>
      </c>
      <c r="BH10" s="1650"/>
      <c r="BI10" s="1650"/>
      <c r="BJ10" s="1650"/>
      <c r="BK10" s="1650"/>
      <c r="BL10" s="1650"/>
      <c r="BM10" s="1650"/>
      <c r="BN10" s="1650"/>
      <c r="BO10" s="1650"/>
      <c r="BP10" s="1650"/>
      <c r="BQ10" s="1650"/>
      <c r="BR10" s="1650"/>
      <c r="BS10" s="1650"/>
      <c r="BT10" s="1650"/>
    </row>
    <row r="11" spans="1:74" s="318" customFormat="1" ht="15" customHeight="1">
      <c r="A11" s="896">
        <f t="shared" si="10"/>
        <v>5</v>
      </c>
      <c r="B11" s="878">
        <f>B10+1</f>
        <v>3</v>
      </c>
      <c r="C11" s="344" t="s">
        <v>90</v>
      </c>
      <c r="D11" s="607">
        <v>240</v>
      </c>
      <c r="E11" s="862">
        <f>2*D11</f>
        <v>480</v>
      </c>
      <c r="F11" s="862">
        <f>2*222</f>
        <v>444</v>
      </c>
      <c r="G11" s="656">
        <f>F11*1.15</f>
        <v>510.59999999999997</v>
      </c>
      <c r="H11" s="274">
        <f t="shared" si="5"/>
        <v>110.4</v>
      </c>
      <c r="I11" s="643">
        <f>0.5*(H11*1.1)</f>
        <v>60.720000000000006</v>
      </c>
      <c r="J11" s="1244" t="s">
        <v>136</v>
      </c>
      <c r="K11" s="1241" t="s">
        <v>136</v>
      </c>
      <c r="L11" s="862">
        <f>323-144</f>
        <v>179</v>
      </c>
      <c r="M11" s="1242" t="s">
        <v>136</v>
      </c>
      <c r="N11" s="1241" t="s">
        <v>136</v>
      </c>
      <c r="O11" s="1241" t="s">
        <v>136</v>
      </c>
      <c r="P11" s="1241" t="s">
        <v>136</v>
      </c>
      <c r="Q11" s="862">
        <f>SUM(J11:P11)</f>
        <v>179</v>
      </c>
      <c r="R11" s="402">
        <f>2*Q11</f>
        <v>358</v>
      </c>
      <c r="S11" s="611">
        <f>R11+(2*71)</f>
        <v>500</v>
      </c>
      <c r="T11" s="644">
        <v>0</v>
      </c>
      <c r="U11" s="624">
        <v>82</v>
      </c>
      <c r="V11" s="639" t="s">
        <v>136</v>
      </c>
      <c r="W11" s="639" t="s">
        <v>136</v>
      </c>
      <c r="X11" s="624">
        <f>SUM(T11:W11)</f>
        <v>82</v>
      </c>
      <c r="Y11" s="526">
        <f>2*X11</f>
        <v>164</v>
      </c>
      <c r="Z11" s="525">
        <f>(Y11+(23))</f>
        <v>187</v>
      </c>
      <c r="AA11" s="624">
        <f>Z11-H11</f>
        <v>76.599999999999994</v>
      </c>
      <c r="AB11" s="653">
        <f>Z11-I11</f>
        <v>126.28</v>
      </c>
      <c r="AC11" s="862">
        <v>251</v>
      </c>
      <c r="AD11" s="624">
        <f t="shared" si="6"/>
        <v>86.474500000000006</v>
      </c>
      <c r="AE11" s="624">
        <f>X11-U11+AD11</f>
        <v>86.474500000000006</v>
      </c>
      <c r="AF11" s="434">
        <f>2*AE11</f>
        <v>172.94900000000001</v>
      </c>
      <c r="AG11" s="323">
        <f>AF11+(23)</f>
        <v>195.94900000000001</v>
      </c>
      <c r="AH11" s="624">
        <f>AG11-I11</f>
        <v>135.22900000000001</v>
      </c>
      <c r="AI11" s="1263" t="s">
        <v>763</v>
      </c>
      <c r="AJ11" s="969">
        <v>74</v>
      </c>
      <c r="AK11" s="1262">
        <f>(2*AJ11)+(2*71)+(2*45)</f>
        <v>380</v>
      </c>
      <c r="AL11" s="673">
        <f>S11-AK11</f>
        <v>120</v>
      </c>
      <c r="AM11" s="623">
        <f>15+15</f>
        <v>30</v>
      </c>
      <c r="AN11" s="273">
        <f>373+(23)+AM11</f>
        <v>426</v>
      </c>
      <c r="AO11" s="273">
        <f>Z11-AN11</f>
        <v>-239</v>
      </c>
      <c r="AP11" s="1120"/>
      <c r="AQ11" s="344" t="s">
        <v>93</v>
      </c>
      <c r="AR11" s="276">
        <f>H11</f>
        <v>110.4</v>
      </c>
      <c r="AS11" s="183">
        <f>Z11</f>
        <v>187</v>
      </c>
      <c r="AT11" s="183">
        <f t="shared" si="7"/>
        <v>426</v>
      </c>
      <c r="AU11" s="733">
        <f t="shared" si="8"/>
        <v>-10.599999999999966</v>
      </c>
      <c r="AV11" s="460">
        <f>S11-AK11</f>
        <v>120</v>
      </c>
      <c r="BD11" s="319"/>
      <c r="BE11" s="1621">
        <f t="shared" si="9"/>
        <v>3</v>
      </c>
      <c r="BF11" s="278"/>
      <c r="BG11" s="1630">
        <v>1</v>
      </c>
      <c r="BH11" s="1650"/>
      <c r="BI11" s="1650"/>
      <c r="BJ11" s="1650"/>
      <c r="BK11" s="1650"/>
      <c r="BL11" s="1650"/>
      <c r="BM11" s="1650"/>
      <c r="BN11" s="1650"/>
      <c r="BO11" s="1650"/>
      <c r="BP11" s="1650"/>
      <c r="BQ11" s="1650"/>
      <c r="BR11" s="1650"/>
      <c r="BS11" s="1650"/>
      <c r="BT11" s="1650"/>
    </row>
    <row r="12" spans="1:74" ht="297" customHeight="1">
      <c r="C12" s="1272" t="s">
        <v>877</v>
      </c>
      <c r="D12" s="1860" t="s">
        <v>865</v>
      </c>
      <c r="E12" s="1861"/>
      <c r="F12" s="926" t="s">
        <v>866</v>
      </c>
      <c r="G12" s="1253" t="s">
        <v>867</v>
      </c>
      <c r="H12" s="1254" t="s">
        <v>345</v>
      </c>
      <c r="I12" s="1003"/>
      <c r="J12" s="1255" t="s">
        <v>191</v>
      </c>
      <c r="K12" s="1256"/>
      <c r="L12" s="1257" t="s">
        <v>346</v>
      </c>
      <c r="M12" s="1257" t="s">
        <v>347</v>
      </c>
      <c r="N12" s="1258" t="s">
        <v>868</v>
      </c>
      <c r="O12" s="69"/>
      <c r="P12" s="69"/>
      <c r="Q12" s="69"/>
      <c r="R12" s="425"/>
      <c r="S12" s="1186" t="s">
        <v>979</v>
      </c>
      <c r="T12" s="197"/>
      <c r="U12" s="1259" t="s">
        <v>348</v>
      </c>
      <c r="V12" s="194"/>
      <c r="X12" s="52"/>
      <c r="Y12" s="118"/>
      <c r="Z12" s="1350" t="s">
        <v>978</v>
      </c>
      <c r="AA12" s="70"/>
      <c r="AB12" s="1260" t="s">
        <v>349</v>
      </c>
      <c r="AC12" s="1189" t="s">
        <v>869</v>
      </c>
      <c r="AD12" s="1260" t="s">
        <v>350</v>
      </c>
      <c r="AE12" s="140"/>
      <c r="AF12" s="117"/>
      <c r="AG12" s="1350" t="s">
        <v>978</v>
      </c>
      <c r="AH12" s="162"/>
      <c r="AJ12" s="1371" t="s">
        <v>1150</v>
      </c>
      <c r="AK12" s="1265"/>
      <c r="AL12" s="1596" t="s">
        <v>1199</v>
      </c>
      <c r="AM12" s="634"/>
      <c r="AN12" s="1190" t="s">
        <v>872</v>
      </c>
      <c r="AO12" s="73"/>
      <c r="AQ12" s="795"/>
      <c r="AR12" s="795"/>
      <c r="AS12" s="795"/>
      <c r="AT12" s="795"/>
      <c r="AU12" s="795"/>
      <c r="AV12" s="795"/>
    </row>
    <row r="13" spans="1:74" s="14" customFormat="1" ht="17">
      <c r="A13" s="927"/>
      <c r="B13" s="143"/>
      <c r="C13" s="12"/>
      <c r="D13" s="12"/>
      <c r="E13" s="166"/>
      <c r="F13" s="166"/>
      <c r="G13" s="166"/>
      <c r="H13" s="167"/>
      <c r="I13" s="160"/>
      <c r="J13" s="160"/>
      <c r="K13" s="160"/>
      <c r="L13" s="160"/>
      <c r="M13" s="160"/>
      <c r="N13" s="160"/>
      <c r="O13" s="160"/>
      <c r="P13" s="160"/>
      <c r="Q13" s="160"/>
      <c r="R13" s="145" t="s">
        <v>105</v>
      </c>
      <c r="S13" s="160"/>
      <c r="T13" s="160"/>
      <c r="U13" s="160"/>
      <c r="V13" s="160"/>
      <c r="W13" s="160"/>
      <c r="X13" s="160"/>
      <c r="Y13" s="31"/>
      <c r="Z13" s="31"/>
      <c r="AA13" s="31"/>
      <c r="AB13" s="177"/>
      <c r="AC13" s="160"/>
      <c r="AD13" s="160"/>
      <c r="AE13" s="160"/>
      <c r="AF13" s="31"/>
      <c r="AG13" s="31"/>
      <c r="AH13" s="168"/>
      <c r="AI13" s="168"/>
      <c r="AJ13" s="72"/>
      <c r="AK13" s="147"/>
      <c r="AL13" s="31"/>
      <c r="AM13" s="31"/>
      <c r="AN13" s="73"/>
      <c r="AO13" s="73"/>
      <c r="AP13" s="1116"/>
      <c r="AQ13" s="312"/>
      <c r="AR13" s="313"/>
      <c r="AS13" s="313"/>
      <c r="AT13" s="313"/>
      <c r="AU13" s="313"/>
      <c r="AV13" s="560" t="s">
        <v>105</v>
      </c>
      <c r="BD13" s="46"/>
      <c r="BF13" s="199"/>
      <c r="BG13" s="199"/>
      <c r="BH13" s="199"/>
      <c r="BI13" s="199"/>
      <c r="BJ13" s="199"/>
      <c r="BK13" s="199"/>
      <c r="BL13" s="199"/>
      <c r="BM13" s="199"/>
      <c r="BN13" s="199"/>
      <c r="BO13" s="199"/>
      <c r="BP13" s="199"/>
      <c r="BQ13" s="199"/>
      <c r="BR13" s="199"/>
      <c r="BS13" s="199"/>
      <c r="BT13" s="199"/>
    </row>
    <row r="14" spans="1:74" s="14" customFormat="1">
      <c r="A14" s="927"/>
      <c r="B14" s="452"/>
      <c r="C14" s="1814"/>
      <c r="D14" s="1815"/>
      <c r="E14" s="1815"/>
      <c r="F14" s="1815"/>
      <c r="G14" s="1815"/>
      <c r="H14" s="1815"/>
      <c r="I14" s="1815"/>
      <c r="J14" s="1815"/>
      <c r="K14" s="1815"/>
      <c r="L14" s="1815"/>
      <c r="M14" s="1815"/>
      <c r="N14" s="1815"/>
      <c r="O14" s="1815"/>
      <c r="P14" s="1815"/>
      <c r="Q14" s="1815"/>
      <c r="R14" s="1815"/>
      <c r="S14" s="1815"/>
      <c r="T14" s="1816"/>
      <c r="U14" s="1816"/>
      <c r="V14" s="1816"/>
      <c r="W14" s="1816"/>
      <c r="X14" s="1816"/>
      <c r="Y14" s="1816"/>
      <c r="Z14" s="1816"/>
      <c r="AA14" s="1816"/>
      <c r="AB14" s="1816"/>
      <c r="AC14" s="1816"/>
      <c r="AD14" s="1816"/>
      <c r="AE14" s="1816"/>
      <c r="AF14" s="1816"/>
      <c r="AG14" s="1816"/>
      <c r="AH14" s="1816"/>
      <c r="AI14" s="1816"/>
      <c r="AJ14" s="1816"/>
      <c r="AK14" s="147"/>
      <c r="AL14" s="31"/>
      <c r="AM14" s="31"/>
      <c r="AN14" s="73"/>
      <c r="AO14" s="73"/>
      <c r="AP14" s="1116"/>
      <c r="AQ14" s="312"/>
      <c r="AR14" s="313"/>
      <c r="AS14" s="313"/>
      <c r="AT14" s="313"/>
      <c r="AU14" s="313"/>
      <c r="AV14" s="560" t="s">
        <v>105</v>
      </c>
      <c r="BD14" s="46"/>
      <c r="BF14" s="199"/>
      <c r="BG14" s="199"/>
      <c r="BH14" s="199"/>
      <c r="BI14" s="199"/>
      <c r="BJ14" s="199"/>
      <c r="BK14" s="199"/>
      <c r="BL14" s="199"/>
      <c r="BM14" s="199"/>
      <c r="BN14" s="199"/>
      <c r="BO14" s="199"/>
      <c r="BP14" s="199"/>
      <c r="BQ14" s="199"/>
      <c r="BR14" s="199"/>
      <c r="BS14" s="199"/>
      <c r="BT14" s="199"/>
    </row>
    <row r="15" spans="1:74" s="14" customFormat="1" ht="33" customHeight="1">
      <c r="A15" s="927"/>
      <c r="B15" s="929" t="s">
        <v>97</v>
      </c>
      <c r="C15" s="1560" t="s">
        <v>35</v>
      </c>
      <c r="D15" s="1690" t="s">
        <v>168</v>
      </c>
      <c r="E15" s="1767"/>
      <c r="F15" s="1767"/>
      <c r="G15" s="1767"/>
      <c r="H15" s="1767"/>
      <c r="I15" s="1768"/>
      <c r="J15" s="1788" t="s">
        <v>645</v>
      </c>
      <c r="K15" s="1789"/>
      <c r="L15" s="1790"/>
      <c r="M15" s="1790"/>
      <c r="N15" s="1790"/>
      <c r="O15" s="1790"/>
      <c r="P15" s="1791"/>
      <c r="Q15" s="1790"/>
      <c r="R15" s="1684" t="s">
        <v>882</v>
      </c>
      <c r="S15" s="1779"/>
      <c r="T15" s="1786" t="s">
        <v>664</v>
      </c>
      <c r="U15" s="1787"/>
      <c r="V15" s="1787"/>
      <c r="W15" s="1787"/>
      <c r="X15" s="1787"/>
      <c r="Y15" s="1811" t="s">
        <v>648</v>
      </c>
      <c r="Z15" s="1812"/>
      <c r="AA15" s="1276"/>
      <c r="AB15" s="1276"/>
      <c r="AC15" s="1784" t="s">
        <v>162</v>
      </c>
      <c r="AD15" s="1785"/>
      <c r="AE15" s="1785"/>
      <c r="AF15" s="1782" t="s">
        <v>883</v>
      </c>
      <c r="AG15" s="1783"/>
      <c r="AH15" s="1276"/>
      <c r="AI15" s="1277"/>
      <c r="AJ15" s="1780" t="s">
        <v>167</v>
      </c>
      <c r="AK15" s="1780"/>
      <c r="AL15" s="1780"/>
      <c r="AM15" s="1780"/>
      <c r="AN15" s="1842"/>
      <c r="AO15" s="244"/>
      <c r="AP15" s="1116"/>
      <c r="AQ15" s="604"/>
      <c r="AR15" s="313"/>
      <c r="AS15" s="313"/>
      <c r="AT15" s="313"/>
      <c r="AU15" s="313"/>
      <c r="AV15" s="313"/>
      <c r="BD15" s="46"/>
      <c r="BF15" s="199"/>
      <c r="BG15" s="199"/>
      <c r="BH15" s="199"/>
      <c r="BI15" s="199"/>
      <c r="BJ15" s="199"/>
      <c r="BK15" s="199"/>
      <c r="BL15" s="199"/>
      <c r="BM15" s="199"/>
      <c r="BN15" s="199"/>
      <c r="BO15" s="199"/>
      <c r="BP15" s="199"/>
      <c r="BQ15" s="199"/>
      <c r="BR15" s="199"/>
      <c r="BS15" s="199"/>
      <c r="BT15" s="199"/>
    </row>
    <row r="16" spans="1:74" s="14" customFormat="1" ht="16" customHeight="1">
      <c r="A16" s="927"/>
      <c r="B16" s="143"/>
      <c r="C16" s="505"/>
      <c r="D16" s="109">
        <v>1</v>
      </c>
      <c r="E16" s="50">
        <f t="shared" ref="E16:AL16" si="11">D16+1</f>
        <v>2</v>
      </c>
      <c r="F16" s="50">
        <f t="shared" si="11"/>
        <v>3</v>
      </c>
      <c r="G16" s="50">
        <f t="shared" si="11"/>
        <v>4</v>
      </c>
      <c r="H16" s="50">
        <f t="shared" si="11"/>
        <v>5</v>
      </c>
      <c r="I16" s="50">
        <f t="shared" si="11"/>
        <v>6</v>
      </c>
      <c r="J16" s="109">
        <f t="shared" si="11"/>
        <v>7</v>
      </c>
      <c r="K16" s="50">
        <f t="shared" si="11"/>
        <v>8</v>
      </c>
      <c r="L16" s="50">
        <f t="shared" si="11"/>
        <v>9</v>
      </c>
      <c r="M16" s="50">
        <f t="shared" si="11"/>
        <v>10</v>
      </c>
      <c r="N16" s="50">
        <f t="shared" si="11"/>
        <v>11</v>
      </c>
      <c r="O16" s="50">
        <f t="shared" si="11"/>
        <v>12</v>
      </c>
      <c r="P16" s="50">
        <f t="shared" si="11"/>
        <v>13</v>
      </c>
      <c r="Q16" s="50">
        <f t="shared" si="11"/>
        <v>14</v>
      </c>
      <c r="R16" s="1005">
        <f t="shared" si="11"/>
        <v>15</v>
      </c>
      <c r="S16" s="1007">
        <f t="shared" si="11"/>
        <v>16</v>
      </c>
      <c r="T16" s="109">
        <f t="shared" si="11"/>
        <v>17</v>
      </c>
      <c r="U16" s="50">
        <f t="shared" si="11"/>
        <v>18</v>
      </c>
      <c r="V16" s="50">
        <f t="shared" si="11"/>
        <v>19</v>
      </c>
      <c r="W16" s="137">
        <f t="shared" si="11"/>
        <v>20</v>
      </c>
      <c r="X16" s="50">
        <f t="shared" si="11"/>
        <v>21</v>
      </c>
      <c r="Y16" s="1005">
        <f t="shared" si="11"/>
        <v>22</v>
      </c>
      <c r="Z16" s="1007">
        <f t="shared" si="11"/>
        <v>23</v>
      </c>
      <c r="AA16" s="109">
        <f t="shared" si="11"/>
        <v>24</v>
      </c>
      <c r="AB16" s="110">
        <f t="shared" si="11"/>
        <v>25</v>
      </c>
      <c r="AC16" s="50">
        <f t="shared" si="11"/>
        <v>26</v>
      </c>
      <c r="AD16" s="50">
        <f t="shared" si="11"/>
        <v>27</v>
      </c>
      <c r="AE16" s="50">
        <f t="shared" si="11"/>
        <v>28</v>
      </c>
      <c r="AF16" s="1005">
        <f t="shared" si="11"/>
        <v>29</v>
      </c>
      <c r="AG16" s="1007">
        <f t="shared" si="11"/>
        <v>30</v>
      </c>
      <c r="AH16" s="50">
        <f t="shared" si="11"/>
        <v>31</v>
      </c>
      <c r="AI16" s="109">
        <f>AH16+1</f>
        <v>32</v>
      </c>
      <c r="AJ16" s="50">
        <f>AI16+1</f>
        <v>33</v>
      </c>
      <c r="AK16" s="50">
        <f t="shared" si="11"/>
        <v>34</v>
      </c>
      <c r="AL16" s="50">
        <f t="shared" si="11"/>
        <v>35</v>
      </c>
      <c r="AM16" s="50">
        <f t="shared" ref="AM16" si="12">AL16+1</f>
        <v>36</v>
      </c>
      <c r="AN16" s="110">
        <f t="shared" ref="AN16" si="13">AM16+1</f>
        <v>37</v>
      </c>
      <c r="AO16" s="50">
        <f t="shared" ref="AO16" si="14">AN16+1</f>
        <v>38</v>
      </c>
      <c r="AP16" s="1116"/>
      <c r="AQ16" s="312"/>
      <c r="AR16" s="313"/>
      <c r="AS16" s="313"/>
      <c r="AT16" s="313"/>
      <c r="AU16" s="313"/>
      <c r="AV16" s="313"/>
      <c r="BD16" s="46"/>
      <c r="BF16" s="199"/>
      <c r="BG16" s="199"/>
      <c r="BH16" s="199"/>
      <c r="BI16" s="199"/>
      <c r="BJ16" s="199"/>
      <c r="BK16" s="199"/>
      <c r="BL16" s="199"/>
      <c r="BM16" s="199"/>
      <c r="BN16" s="199"/>
      <c r="BO16" s="199"/>
      <c r="BP16" s="199"/>
      <c r="BQ16" s="199"/>
      <c r="BR16" s="199"/>
      <c r="BS16" s="199"/>
      <c r="BT16" s="199"/>
    </row>
    <row r="17" spans="1:74" s="14" customFormat="1" ht="120" customHeight="1">
      <c r="A17" s="927"/>
      <c r="B17" s="143"/>
      <c r="C17" s="1233" t="s">
        <v>873</v>
      </c>
      <c r="D17" s="1234" t="s">
        <v>244</v>
      </c>
      <c r="E17" s="1235" t="s">
        <v>245</v>
      </c>
      <c r="F17" s="1235" t="s">
        <v>246</v>
      </c>
      <c r="G17" s="1235" t="s">
        <v>234</v>
      </c>
      <c r="H17" s="805" t="s">
        <v>247</v>
      </c>
      <c r="I17" s="1002" t="s">
        <v>604</v>
      </c>
      <c r="J17" s="1239" t="s">
        <v>249</v>
      </c>
      <c r="K17" s="1240" t="s">
        <v>250</v>
      </c>
      <c r="L17" s="1240" t="s">
        <v>251</v>
      </c>
      <c r="M17" s="1235" t="s">
        <v>274</v>
      </c>
      <c r="N17" s="1240" t="s">
        <v>275</v>
      </c>
      <c r="O17" s="1240" t="s">
        <v>254</v>
      </c>
      <c r="P17" s="1240" t="s">
        <v>276</v>
      </c>
      <c r="Q17" s="1201" t="s">
        <v>415</v>
      </c>
      <c r="R17" s="602" t="s">
        <v>257</v>
      </c>
      <c r="S17" s="400" t="s">
        <v>363</v>
      </c>
      <c r="T17" s="1013" t="s">
        <v>277</v>
      </c>
      <c r="U17" s="1010" t="s">
        <v>278</v>
      </c>
      <c r="V17" s="1010" t="s">
        <v>279</v>
      </c>
      <c r="W17" s="1010" t="s">
        <v>261</v>
      </c>
      <c r="X17" s="872" t="s">
        <v>262</v>
      </c>
      <c r="Y17" s="523" t="s">
        <v>995</v>
      </c>
      <c r="Z17" s="599" t="s">
        <v>996</v>
      </c>
      <c r="AA17" s="1010" t="s">
        <v>265</v>
      </c>
      <c r="AB17" s="1010" t="s">
        <v>266</v>
      </c>
      <c r="AC17" s="1239" t="s">
        <v>627</v>
      </c>
      <c r="AD17" s="1010" t="s">
        <v>268</v>
      </c>
      <c r="AE17" s="1010" t="s">
        <v>269</v>
      </c>
      <c r="AF17" s="186" t="s">
        <v>344</v>
      </c>
      <c r="AG17" s="600" t="s">
        <v>270</v>
      </c>
      <c r="AH17" s="1010" t="s">
        <v>271</v>
      </c>
      <c r="AI17" s="1266" t="s">
        <v>812</v>
      </c>
      <c r="AJ17" s="1267" t="s">
        <v>809</v>
      </c>
      <c r="AK17" s="1548" t="s">
        <v>14</v>
      </c>
      <c r="AL17" s="1269" t="s">
        <v>1</v>
      </c>
      <c r="AM17" s="1010" t="s">
        <v>810</v>
      </c>
      <c r="AN17" s="1002" t="s">
        <v>746</v>
      </c>
      <c r="AO17" s="239" t="s">
        <v>272</v>
      </c>
      <c r="AP17" s="1116"/>
      <c r="AQ17" s="408" t="s">
        <v>243</v>
      </c>
      <c r="AR17" s="805" t="s">
        <v>357</v>
      </c>
      <c r="AS17" s="988" t="s">
        <v>273</v>
      </c>
      <c r="AT17" s="806" t="s">
        <v>567</v>
      </c>
      <c r="AU17" s="1008" t="s">
        <v>811</v>
      </c>
      <c r="AV17" s="1008" t="s">
        <v>745</v>
      </c>
      <c r="BD17" s="46"/>
      <c r="BE17" s="1148" t="s">
        <v>822</v>
      </c>
      <c r="BF17" s="199"/>
      <c r="BG17" s="199"/>
      <c r="BH17" s="199"/>
      <c r="BI17" s="199"/>
      <c r="BJ17" s="199"/>
      <c r="BK17" s="199"/>
      <c r="BL17" s="199"/>
      <c r="BM17" s="199"/>
      <c r="BN17" s="199"/>
      <c r="BO17" s="199"/>
      <c r="BP17" s="199"/>
      <c r="BQ17" s="199"/>
      <c r="BR17" s="199"/>
      <c r="BS17" s="199"/>
      <c r="BT17" s="199"/>
    </row>
    <row r="18" spans="1:74" s="180" customFormat="1">
      <c r="A18" s="897">
        <f>A11+1</f>
        <v>6</v>
      </c>
      <c r="B18" s="878">
        <f>B11+1</f>
        <v>4</v>
      </c>
      <c r="C18" s="349" t="s">
        <v>1143</v>
      </c>
      <c r="D18" s="608">
        <v>218</v>
      </c>
      <c r="E18" s="1237">
        <f>(2*D18)</f>
        <v>436</v>
      </c>
      <c r="F18" s="739">
        <f>(2*194)</f>
        <v>388</v>
      </c>
      <c r="G18" s="656">
        <f>F18*1.15</f>
        <v>446.2</v>
      </c>
      <c r="H18" s="274">
        <f>(E18*(0.23))</f>
        <v>100.28</v>
      </c>
      <c r="I18" s="271">
        <f>0.5*(H18*1.1)</f>
        <v>55.154000000000003</v>
      </c>
      <c r="J18" s="1241" t="s">
        <v>136</v>
      </c>
      <c r="K18" s="1241" t="s">
        <v>136</v>
      </c>
      <c r="L18" s="671">
        <f>214-98</f>
        <v>116</v>
      </c>
      <c r="M18" s="1243" t="s">
        <v>158</v>
      </c>
      <c r="N18" s="1243" t="s">
        <v>158</v>
      </c>
      <c r="O18" s="1243" t="s">
        <v>158</v>
      </c>
      <c r="P18" s="1243" t="s">
        <v>158</v>
      </c>
      <c r="Q18" s="1243">
        <f>SUM(J18:P18)</f>
        <v>116</v>
      </c>
      <c r="R18" s="402">
        <f>2*Q18</f>
        <v>232</v>
      </c>
      <c r="S18" s="690">
        <f>R18+(2*71)</f>
        <v>374</v>
      </c>
      <c r="T18" s="652">
        <v>0</v>
      </c>
      <c r="U18" s="624">
        <v>82</v>
      </c>
      <c r="V18" s="647" t="s">
        <v>136</v>
      </c>
      <c r="W18" s="647" t="s">
        <v>136</v>
      </c>
      <c r="X18" s="623">
        <f>SUM(T18:V18)</f>
        <v>82</v>
      </c>
      <c r="Y18" s="524">
        <f>2*X18</f>
        <v>164</v>
      </c>
      <c r="Z18" s="525">
        <f>(Y18+(23))</f>
        <v>187</v>
      </c>
      <c r="AA18" s="624">
        <f>Z18-H18</f>
        <v>86.72</v>
      </c>
      <c r="AB18" s="624">
        <f>Z18-I18</f>
        <v>131.846</v>
      </c>
      <c r="AC18" s="607">
        <f>(294-27)</f>
        <v>267</v>
      </c>
      <c r="AD18" s="624">
        <f>(33.89)+(AC18*0.2095)</f>
        <v>89.826499999999996</v>
      </c>
      <c r="AE18" s="624">
        <f>X18-U18+AD18</f>
        <v>89.826499999999996</v>
      </c>
      <c r="AF18" s="281">
        <f>2*AE18</f>
        <v>179.65299999999999</v>
      </c>
      <c r="AG18" s="369">
        <f>AF18+(23)</f>
        <v>202.65299999999999</v>
      </c>
      <c r="AH18" s="356">
        <f>AG18-I18</f>
        <v>147.499</v>
      </c>
      <c r="AI18" s="1261" t="s">
        <v>763</v>
      </c>
      <c r="AJ18" s="1262">
        <v>60</v>
      </c>
      <c r="AK18" s="1262">
        <f>(2*AJ18)+(2*71)+(2*45)</f>
        <v>352</v>
      </c>
      <c r="AL18" s="1262">
        <f>S18-AK18</f>
        <v>22</v>
      </c>
      <c r="AM18" s="1030" t="s">
        <v>758</v>
      </c>
      <c r="AN18" s="273">
        <f>377+(23)</f>
        <v>400</v>
      </c>
      <c r="AO18" s="274">
        <f>Z18-AN18</f>
        <v>-213</v>
      </c>
      <c r="AP18" s="1118"/>
      <c r="AQ18" s="355" t="s">
        <v>1144</v>
      </c>
      <c r="AR18" s="276">
        <f>H18</f>
        <v>100.28</v>
      </c>
      <c r="AS18" s="183">
        <f>Z18</f>
        <v>187</v>
      </c>
      <c r="AT18" s="183">
        <f>AN18</f>
        <v>400</v>
      </c>
      <c r="AU18" s="733">
        <f t="shared" ref="AU18:AU22" si="15">S18-G18</f>
        <v>-72.199999999999989</v>
      </c>
      <c r="AV18" s="460">
        <f>S18-AK18</f>
        <v>22</v>
      </c>
      <c r="BB18" s="355"/>
      <c r="BC18" s="183"/>
      <c r="BD18" s="183"/>
      <c r="BE18" s="1621">
        <f>B18</f>
        <v>4</v>
      </c>
      <c r="BF18" s="278"/>
      <c r="BG18" s="1630">
        <v>1</v>
      </c>
      <c r="BH18" s="1630"/>
      <c r="BI18" s="1630"/>
      <c r="BJ18" s="1630"/>
      <c r="BK18" s="1630"/>
      <c r="BL18" s="1630"/>
      <c r="BM18" s="1630"/>
      <c r="BN18" s="1630"/>
      <c r="BO18" s="1630"/>
      <c r="BP18" s="1630"/>
      <c r="BQ18" s="1630"/>
      <c r="BR18" s="1630"/>
      <c r="BS18" s="1649"/>
      <c r="BT18" s="357"/>
      <c r="BU18" s="358"/>
      <c r="BV18" s="183"/>
    </row>
    <row r="19" spans="1:74">
      <c r="A19" s="928">
        <f>A18+1</f>
        <v>7</v>
      </c>
      <c r="B19" s="879">
        <f>B18+1</f>
        <v>5</v>
      </c>
      <c r="C19" s="344" t="s">
        <v>355</v>
      </c>
      <c r="D19" s="607">
        <v>260</v>
      </c>
      <c r="E19" s="862">
        <f>2*D19</f>
        <v>520</v>
      </c>
      <c r="F19" s="862">
        <f>2*230</f>
        <v>460</v>
      </c>
      <c r="G19" s="656">
        <f>F19*1.15</f>
        <v>529</v>
      </c>
      <c r="H19" s="274">
        <f t="shared" ref="H19:H22" si="16">(E19*(0.23))</f>
        <v>119.60000000000001</v>
      </c>
      <c r="I19" s="424">
        <f>0.5*(H19*1.1)</f>
        <v>65.780000000000015</v>
      </c>
      <c r="J19" s="1241" t="s">
        <v>136</v>
      </c>
      <c r="K19" s="1241" t="s">
        <v>136</v>
      </c>
      <c r="L19" s="862">
        <v>135</v>
      </c>
      <c r="M19" s="1243" t="s">
        <v>158</v>
      </c>
      <c r="N19" s="1243" t="s">
        <v>158</v>
      </c>
      <c r="O19" s="671" t="s">
        <v>158</v>
      </c>
      <c r="P19" s="671" t="s">
        <v>158</v>
      </c>
      <c r="Q19" s="862">
        <f>SUM(J19:P19)</f>
        <v>135</v>
      </c>
      <c r="R19" s="402">
        <f>2*Q19</f>
        <v>270</v>
      </c>
      <c r="S19" s="611">
        <f>R19+(2*71)</f>
        <v>412</v>
      </c>
      <c r="T19" s="644">
        <v>0</v>
      </c>
      <c r="U19" s="624">
        <v>89</v>
      </c>
      <c r="V19" s="639" t="s">
        <v>136</v>
      </c>
      <c r="W19" s="639" t="s">
        <v>136</v>
      </c>
      <c r="X19" s="624">
        <f>SUM(T19:W19)</f>
        <v>89</v>
      </c>
      <c r="Y19" s="526">
        <f>2*X19</f>
        <v>178</v>
      </c>
      <c r="Z19" s="525">
        <f>(Y19+(23))</f>
        <v>201</v>
      </c>
      <c r="AA19" s="655">
        <f>Z19-H19</f>
        <v>81.399999999999991</v>
      </c>
      <c r="AB19" s="653">
        <f>Z19-I19</f>
        <v>135.21999999999997</v>
      </c>
      <c r="AC19" s="862">
        <f>(294-84)+59</f>
        <v>269</v>
      </c>
      <c r="AD19" s="624">
        <f t="shared" ref="AD19:AD22" si="17">(33.89)+(AC19*0.2095)</f>
        <v>90.245499999999993</v>
      </c>
      <c r="AE19" s="624">
        <f>X19-U19+AD19</f>
        <v>90.245499999999993</v>
      </c>
      <c r="AF19" s="434">
        <f>2*AE19</f>
        <v>180.49099999999999</v>
      </c>
      <c r="AG19" s="323">
        <f>AF19+(23)</f>
        <v>203.49099999999999</v>
      </c>
      <c r="AH19" s="366">
        <f>AG19-I19</f>
        <v>137.71099999999996</v>
      </c>
      <c r="AI19" s="1263" t="s">
        <v>763</v>
      </c>
      <c r="AJ19" s="1262">
        <v>60</v>
      </c>
      <c r="AK19" s="1262">
        <f>(2*AJ19)+(2*71)+(2*45)</f>
        <v>352</v>
      </c>
      <c r="AL19" s="673">
        <f>S19-AK19</f>
        <v>60</v>
      </c>
      <c r="AM19" s="623">
        <f>31+15</f>
        <v>46</v>
      </c>
      <c r="AN19" s="273">
        <f>377+(23)+AM19</f>
        <v>446</v>
      </c>
      <c r="AO19" s="273">
        <f>Z19-AN19</f>
        <v>-245</v>
      </c>
      <c r="AQ19" s="344" t="s">
        <v>562</v>
      </c>
      <c r="AR19" s="276">
        <f>H19</f>
        <v>119.60000000000001</v>
      </c>
      <c r="AS19" s="183">
        <f>Z19</f>
        <v>201</v>
      </c>
      <c r="AT19" s="183">
        <f t="shared" ref="AT19:AT22" si="18">AN19</f>
        <v>446</v>
      </c>
      <c r="AU19" s="733">
        <f t="shared" si="15"/>
        <v>-117</v>
      </c>
      <c r="AV19" s="460">
        <f>S19-AK19</f>
        <v>60</v>
      </c>
      <c r="BE19" s="1621">
        <f t="shared" ref="BE19:BE22" si="19">B19</f>
        <v>5</v>
      </c>
      <c r="BG19" s="1630">
        <v>1</v>
      </c>
    </row>
    <row r="20" spans="1:74">
      <c r="A20" s="928">
        <f t="shared" ref="A20:A22" si="20">A19+1</f>
        <v>8</v>
      </c>
      <c r="B20" s="879">
        <f>B19+1</f>
        <v>6</v>
      </c>
      <c r="C20" s="344" t="s">
        <v>91</v>
      </c>
      <c r="D20" s="607">
        <v>234</v>
      </c>
      <c r="E20" s="862">
        <f>2*D20</f>
        <v>468</v>
      </c>
      <c r="F20" s="862">
        <f>2*235</f>
        <v>470</v>
      </c>
      <c r="G20" s="656">
        <f>F20*1.15</f>
        <v>540.5</v>
      </c>
      <c r="H20" s="274">
        <f t="shared" si="16"/>
        <v>107.64</v>
      </c>
      <c r="I20" s="424">
        <f>0.5*(H20*1.1)</f>
        <v>59.202000000000005</v>
      </c>
      <c r="J20" s="1244" t="s">
        <v>136</v>
      </c>
      <c r="K20" s="1241" t="s">
        <v>136</v>
      </c>
      <c r="L20" s="862">
        <f>187-25</f>
        <v>162</v>
      </c>
      <c r="M20" s="671" t="s">
        <v>158</v>
      </c>
      <c r="N20" s="671" t="s">
        <v>158</v>
      </c>
      <c r="O20" s="671" t="s">
        <v>158</v>
      </c>
      <c r="P20" s="671" t="s">
        <v>158</v>
      </c>
      <c r="Q20" s="862">
        <f>SUM(J20:P20)</f>
        <v>162</v>
      </c>
      <c r="R20" s="402">
        <f>2*Q20</f>
        <v>324</v>
      </c>
      <c r="S20" s="611">
        <f>R20+(2*71)</f>
        <v>466</v>
      </c>
      <c r="T20" s="644">
        <v>0</v>
      </c>
      <c r="U20" s="624">
        <v>85</v>
      </c>
      <c r="V20" s="639" t="s">
        <v>136</v>
      </c>
      <c r="W20" s="639" t="s">
        <v>136</v>
      </c>
      <c r="X20" s="624">
        <f>SUM(T20:W20)</f>
        <v>85</v>
      </c>
      <c r="Y20" s="526">
        <f>2*X20</f>
        <v>170</v>
      </c>
      <c r="Z20" s="525">
        <f>(Y20+(23))</f>
        <v>193</v>
      </c>
      <c r="AA20" s="655">
        <f>Z20-H20</f>
        <v>85.36</v>
      </c>
      <c r="AB20" s="653">
        <f>Z20-I20</f>
        <v>133.798</v>
      </c>
      <c r="AC20" s="862">
        <f>294-12</f>
        <v>282</v>
      </c>
      <c r="AD20" s="624">
        <f t="shared" si="17"/>
        <v>92.968999999999994</v>
      </c>
      <c r="AE20" s="624">
        <f>X20-U20+AD20</f>
        <v>92.968999999999994</v>
      </c>
      <c r="AF20" s="434">
        <f>2*AE20</f>
        <v>185.93799999999999</v>
      </c>
      <c r="AG20" s="323">
        <f>AF20+(23)</f>
        <v>208.93799999999999</v>
      </c>
      <c r="AH20" s="366">
        <f>AG20-I20</f>
        <v>149.73599999999999</v>
      </c>
      <c r="AI20" s="1263" t="s">
        <v>763</v>
      </c>
      <c r="AJ20" s="1262">
        <v>60</v>
      </c>
      <c r="AK20" s="1262">
        <f>(2*AJ20)+(2*71)+(2*45)</f>
        <v>352</v>
      </c>
      <c r="AL20" s="673">
        <f>S20-AK20</f>
        <v>114</v>
      </c>
      <c r="AM20" s="623">
        <v>15</v>
      </c>
      <c r="AN20" s="273">
        <f>377+(23)+AM20</f>
        <v>415</v>
      </c>
      <c r="AO20" s="273">
        <f>Z20-AN20</f>
        <v>-222</v>
      </c>
      <c r="AQ20" s="344" t="s">
        <v>563</v>
      </c>
      <c r="AR20" s="276">
        <f>H20</f>
        <v>107.64</v>
      </c>
      <c r="AS20" s="183">
        <f>Z20</f>
        <v>193</v>
      </c>
      <c r="AT20" s="183">
        <f t="shared" si="18"/>
        <v>415</v>
      </c>
      <c r="AU20" s="733">
        <f t="shared" si="15"/>
        <v>-74.5</v>
      </c>
      <c r="AV20" s="460">
        <f>S20-AK20</f>
        <v>114</v>
      </c>
      <c r="BE20" s="1621">
        <f t="shared" si="19"/>
        <v>6</v>
      </c>
      <c r="BG20" s="1630">
        <v>1</v>
      </c>
    </row>
    <row r="21" spans="1:74" s="318" customFormat="1" ht="15" customHeight="1">
      <c r="A21" s="928">
        <f t="shared" si="20"/>
        <v>9</v>
      </c>
      <c r="B21" s="879">
        <f>B20+1</f>
        <v>7</v>
      </c>
      <c r="C21" s="344" t="s">
        <v>698</v>
      </c>
      <c r="D21" s="607">
        <v>261</v>
      </c>
      <c r="E21" s="862">
        <f>2*D21</f>
        <v>522</v>
      </c>
      <c r="F21" s="862">
        <f>2*215</f>
        <v>430</v>
      </c>
      <c r="G21" s="656">
        <f>F21*1.15</f>
        <v>494.49999999999994</v>
      </c>
      <c r="H21" s="274">
        <f t="shared" si="16"/>
        <v>120.06</v>
      </c>
      <c r="I21" s="424">
        <f>0.5*(H21*1.1)</f>
        <v>66.033000000000001</v>
      </c>
      <c r="J21" s="1244" t="s">
        <v>136</v>
      </c>
      <c r="K21" s="1241" t="s">
        <v>136</v>
      </c>
      <c r="L21" s="1599">
        <v>124</v>
      </c>
      <c r="M21" s="671" t="s">
        <v>158</v>
      </c>
      <c r="N21" s="671" t="s">
        <v>158</v>
      </c>
      <c r="O21" s="671" t="s">
        <v>158</v>
      </c>
      <c r="P21" s="671" t="s">
        <v>158</v>
      </c>
      <c r="Q21" s="862">
        <f>SUM(J21:P21)</f>
        <v>124</v>
      </c>
      <c r="R21" s="402">
        <f>2*Q21</f>
        <v>248</v>
      </c>
      <c r="S21" s="611">
        <f>R21+(2*71)</f>
        <v>390</v>
      </c>
      <c r="T21" s="644">
        <v>0</v>
      </c>
      <c r="U21" s="624">
        <v>90</v>
      </c>
      <c r="V21" s="639" t="s">
        <v>136</v>
      </c>
      <c r="W21" s="639" t="s">
        <v>136</v>
      </c>
      <c r="X21" s="624">
        <f>SUM(T21:W21)</f>
        <v>90</v>
      </c>
      <c r="Y21" s="526">
        <f>2*X21</f>
        <v>180</v>
      </c>
      <c r="Z21" s="525">
        <f>(Y21+(23))</f>
        <v>203</v>
      </c>
      <c r="AA21" s="655">
        <f>Z21-H21</f>
        <v>82.94</v>
      </c>
      <c r="AB21" s="653">
        <f>Z21-I21</f>
        <v>136.96699999999998</v>
      </c>
      <c r="AC21" s="862">
        <f>(294-33)+59</f>
        <v>320</v>
      </c>
      <c r="AD21" s="624">
        <f t="shared" si="17"/>
        <v>100.92999999999999</v>
      </c>
      <c r="AE21" s="624">
        <f>X21-U21+AD21</f>
        <v>100.92999999999999</v>
      </c>
      <c r="AF21" s="434">
        <f>2*AE21</f>
        <v>201.85999999999999</v>
      </c>
      <c r="AG21" s="323">
        <f>AF21+(23)</f>
        <v>224.85999999999999</v>
      </c>
      <c r="AH21" s="366">
        <f>AG21-I21</f>
        <v>158.827</v>
      </c>
      <c r="AI21" s="1263" t="s">
        <v>763</v>
      </c>
      <c r="AJ21" s="1262">
        <v>60</v>
      </c>
      <c r="AK21" s="1262">
        <f>(2*AJ21)+(2*71)+(2*45)</f>
        <v>352</v>
      </c>
      <c r="AL21" s="673">
        <f>S21-AK21</f>
        <v>38</v>
      </c>
      <c r="AM21" s="623">
        <f>15+15</f>
        <v>30</v>
      </c>
      <c r="AN21" s="273">
        <f>377+(23)+AM21</f>
        <v>430</v>
      </c>
      <c r="AO21" s="273">
        <f>Z21-AN21</f>
        <v>-227</v>
      </c>
      <c r="AP21" s="1120"/>
      <c r="AQ21" s="344" t="s">
        <v>19</v>
      </c>
      <c r="AR21" s="276">
        <f>H21</f>
        <v>120.06</v>
      </c>
      <c r="AS21" s="183">
        <f>Z21</f>
        <v>203</v>
      </c>
      <c r="AT21" s="183">
        <f t="shared" si="18"/>
        <v>430</v>
      </c>
      <c r="AU21" s="733">
        <f t="shared" si="15"/>
        <v>-104.49999999999994</v>
      </c>
      <c r="AV21" s="460">
        <f>S21-AK21</f>
        <v>38</v>
      </c>
      <c r="BD21" s="319"/>
      <c r="BE21" s="1621">
        <f t="shared" si="19"/>
        <v>7</v>
      </c>
      <c r="BF21" s="1650"/>
      <c r="BG21" s="1630">
        <v>1</v>
      </c>
      <c r="BH21" s="1650"/>
      <c r="BI21" s="1650"/>
      <c r="BJ21" s="1650"/>
      <c r="BK21" s="1650"/>
      <c r="BL21" s="1650"/>
      <c r="BM21" s="1650"/>
      <c r="BN21" s="1650"/>
      <c r="BO21" s="1650"/>
      <c r="BP21" s="1650"/>
      <c r="BQ21" s="1650"/>
      <c r="BR21" s="1650"/>
      <c r="BS21" s="1650"/>
      <c r="BT21" s="1650"/>
    </row>
    <row r="22" spans="1:74" s="298" customFormat="1">
      <c r="A22" s="928">
        <f t="shared" si="20"/>
        <v>10</v>
      </c>
      <c r="B22" s="879">
        <f>B21+1</f>
        <v>8</v>
      </c>
      <c r="C22" s="344" t="s">
        <v>356</v>
      </c>
      <c r="D22" s="607">
        <v>303</v>
      </c>
      <c r="E22" s="650">
        <v>606</v>
      </c>
      <c r="F22" s="787">
        <v>536</v>
      </c>
      <c r="G22" s="656">
        <f>F22*1.15</f>
        <v>616.4</v>
      </c>
      <c r="H22" s="274">
        <f t="shared" si="16"/>
        <v>139.38</v>
      </c>
      <c r="I22" s="424">
        <f>0.5*(H22*1.1)</f>
        <v>76.659000000000006</v>
      </c>
      <c r="J22" s="1244" t="s">
        <v>136</v>
      </c>
      <c r="K22" s="1241" t="s">
        <v>136</v>
      </c>
      <c r="L22" s="671">
        <v>200</v>
      </c>
      <c r="M22" s="671" t="s">
        <v>158</v>
      </c>
      <c r="N22" s="671" t="s">
        <v>158</v>
      </c>
      <c r="O22" s="671" t="s">
        <v>158</v>
      </c>
      <c r="P22" s="671" t="s">
        <v>158</v>
      </c>
      <c r="Q22" s="671">
        <f>SUM(J22:P22)</f>
        <v>200</v>
      </c>
      <c r="R22" s="402">
        <f>2*Q22</f>
        <v>400</v>
      </c>
      <c r="S22" s="690">
        <f>R22+(2*71)</f>
        <v>542</v>
      </c>
      <c r="T22" s="644">
        <v>0</v>
      </c>
      <c r="U22" s="624">
        <v>93</v>
      </c>
      <c r="V22" s="639" t="s">
        <v>136</v>
      </c>
      <c r="W22" s="639" t="s">
        <v>136</v>
      </c>
      <c r="X22" s="623">
        <f>SUM(T22:V22)</f>
        <v>93</v>
      </c>
      <c r="Y22" s="524">
        <f>2*X22</f>
        <v>186</v>
      </c>
      <c r="Z22" s="525">
        <f>(Y22+(23))</f>
        <v>209</v>
      </c>
      <c r="AA22" s="624">
        <f>Z22-H22</f>
        <v>69.62</v>
      </c>
      <c r="AB22" s="624">
        <f>Z22-I22</f>
        <v>132.34100000000001</v>
      </c>
      <c r="AC22" s="607">
        <f>294+59</f>
        <v>353</v>
      </c>
      <c r="AD22" s="624">
        <f t="shared" si="17"/>
        <v>107.84349999999999</v>
      </c>
      <c r="AE22" s="624">
        <f>X22-U22+AD22</f>
        <v>107.84349999999999</v>
      </c>
      <c r="AF22" s="281">
        <f>2*AE22</f>
        <v>215.68699999999998</v>
      </c>
      <c r="AG22" s="369">
        <f>AF22+(23)</f>
        <v>238.68699999999998</v>
      </c>
      <c r="AH22" s="356">
        <f>AG22-I22</f>
        <v>162.02799999999996</v>
      </c>
      <c r="AI22" s="1261" t="s">
        <v>763</v>
      </c>
      <c r="AJ22" s="1262">
        <v>60</v>
      </c>
      <c r="AK22" s="1262">
        <f>(2*AJ22)+(2*71)+(2*45)</f>
        <v>352</v>
      </c>
      <c r="AL22" s="673">
        <f>S22-AK22</f>
        <v>190</v>
      </c>
      <c r="AM22" s="623">
        <f>15+15</f>
        <v>30</v>
      </c>
      <c r="AN22" s="273">
        <f>377+(23)+AM22</f>
        <v>430</v>
      </c>
      <c r="AO22" s="274">
        <f>Z22-AN22</f>
        <v>-221</v>
      </c>
      <c r="AP22" s="1118"/>
      <c r="AQ22" s="344" t="s">
        <v>36</v>
      </c>
      <c r="AR22" s="276">
        <f>H22</f>
        <v>139.38</v>
      </c>
      <c r="AS22" s="183">
        <f>Z22</f>
        <v>209</v>
      </c>
      <c r="AT22" s="183">
        <f t="shared" si="18"/>
        <v>430</v>
      </c>
      <c r="AU22" s="733">
        <f t="shared" si="15"/>
        <v>-74.399999999999977</v>
      </c>
      <c r="AV22" s="460">
        <f>S22-AK22</f>
        <v>190</v>
      </c>
      <c r="BB22" s="349"/>
      <c r="BC22" s="276"/>
      <c r="BD22" s="276"/>
      <c r="BE22" s="1621">
        <f t="shared" si="19"/>
        <v>8</v>
      </c>
      <c r="BF22" s="317"/>
      <c r="BG22" s="1630">
        <v>1</v>
      </c>
      <c r="BH22" s="299"/>
      <c r="BI22" s="299"/>
      <c r="BJ22" s="299"/>
      <c r="BK22" s="299"/>
      <c r="BL22" s="299"/>
      <c r="BM22" s="299"/>
      <c r="BN22" s="299"/>
      <c r="BO22" s="299"/>
      <c r="BP22" s="299"/>
      <c r="BQ22" s="299"/>
      <c r="BR22" s="299"/>
      <c r="BS22" s="301"/>
      <c r="BT22" s="359"/>
      <c r="BU22" s="360"/>
      <c r="BV22" s="276"/>
    </row>
    <row r="23" spans="1:74" s="14" customFormat="1" ht="308" customHeight="1">
      <c r="A23" s="927"/>
      <c r="B23" s="143"/>
      <c r="C23" s="1271" t="s">
        <v>876</v>
      </c>
      <c r="D23" s="1857" t="s">
        <v>874</v>
      </c>
      <c r="E23" s="1858"/>
      <c r="F23" s="926" t="s">
        <v>866</v>
      </c>
      <c r="G23" s="1253" t="s">
        <v>867</v>
      </c>
      <c r="H23" s="1254" t="s">
        <v>345</v>
      </c>
      <c r="I23" s="578"/>
      <c r="J23" s="1255" t="s">
        <v>191</v>
      </c>
      <c r="K23" s="1256"/>
      <c r="L23" s="1245" t="s">
        <v>346</v>
      </c>
      <c r="M23" s="399"/>
      <c r="N23" s="399"/>
      <c r="O23" s="320"/>
      <c r="P23" s="320"/>
      <c r="Q23" s="320"/>
      <c r="R23" s="425"/>
      <c r="S23" s="1372" t="s">
        <v>979</v>
      </c>
      <c r="T23" s="197"/>
      <c r="U23" s="1252" t="s">
        <v>348</v>
      </c>
      <c r="V23" s="321"/>
      <c r="W23" s="160"/>
      <c r="X23" s="160"/>
      <c r="Y23" s="258"/>
      <c r="Z23" s="1350" t="s">
        <v>978</v>
      </c>
      <c r="AA23" s="1009"/>
      <c r="AB23" s="1260" t="s">
        <v>349</v>
      </c>
      <c r="AC23" s="1189" t="s">
        <v>869</v>
      </c>
      <c r="AD23" s="1260" t="s">
        <v>350</v>
      </c>
      <c r="AE23" s="991"/>
      <c r="AF23" s="258"/>
      <c r="AG23" s="1350" t="s">
        <v>978</v>
      </c>
      <c r="AH23" s="420"/>
      <c r="AI23" s="1115"/>
      <c r="AJ23" s="1371" t="s">
        <v>1150</v>
      </c>
      <c r="AK23" s="1265"/>
      <c r="AL23" s="1596" t="s">
        <v>1199</v>
      </c>
      <c r="AM23" s="634"/>
      <c r="AN23" s="1190" t="s">
        <v>872</v>
      </c>
      <c r="AO23" s="73"/>
      <c r="AP23" s="1116"/>
      <c r="AQ23" s="794"/>
      <c r="AR23" s="794"/>
      <c r="AS23" s="794"/>
      <c r="AT23" s="794"/>
      <c r="AU23" s="794"/>
      <c r="AV23" s="794"/>
      <c r="BD23" s="46"/>
      <c r="BF23" s="199"/>
      <c r="BG23" s="199"/>
      <c r="BH23" s="199"/>
      <c r="BI23" s="199"/>
      <c r="BJ23" s="199"/>
      <c r="BK23" s="199"/>
      <c r="BL23" s="199"/>
      <c r="BM23" s="199"/>
      <c r="BN23" s="199"/>
      <c r="BO23" s="199"/>
      <c r="BP23" s="199"/>
      <c r="BQ23" s="199"/>
      <c r="BR23" s="199"/>
      <c r="BS23" s="199"/>
      <c r="BT23" s="199"/>
    </row>
    <row r="24" spans="1:74" s="688" customFormat="1" ht="15" customHeight="1">
      <c r="A24" s="935"/>
      <c r="B24" s="674"/>
      <c r="C24" s="675"/>
      <c r="D24" s="614"/>
      <c r="E24" s="676"/>
      <c r="F24" s="677"/>
      <c r="G24" s="677"/>
      <c r="H24" s="678"/>
      <c r="I24" s="676"/>
      <c r="J24" s="407"/>
      <c r="K24" s="407"/>
      <c r="L24" s="614"/>
      <c r="M24" s="614"/>
      <c r="N24" s="614"/>
      <c r="O24" s="679"/>
      <c r="P24" s="679"/>
      <c r="Q24" s="679"/>
      <c r="R24" s="680"/>
      <c r="S24" s="676"/>
      <c r="T24" s="556"/>
      <c r="U24" s="681"/>
      <c r="V24" s="556"/>
      <c r="W24" s="682"/>
      <c r="X24" s="682"/>
      <c r="Y24" s="683"/>
      <c r="Z24" s="676"/>
      <c r="AA24" s="681"/>
      <c r="AB24" s="684"/>
      <c r="AC24" s="685"/>
      <c r="AD24" s="684"/>
      <c r="AE24" s="682"/>
      <c r="AF24" s="683"/>
      <c r="AG24" s="676"/>
      <c r="AH24" s="407"/>
      <c r="AI24" s="407"/>
      <c r="AJ24" s="407"/>
      <c r="AK24" s="614"/>
      <c r="AL24" s="683"/>
      <c r="AM24" s="683"/>
      <c r="AN24" s="686"/>
      <c r="AO24" s="686"/>
      <c r="AP24" s="1121"/>
      <c r="AQ24" s="619"/>
      <c r="AR24" s="687"/>
      <c r="AS24" s="687"/>
      <c r="AT24" s="687"/>
      <c r="AU24" s="687"/>
      <c r="AV24" s="1603" t="s">
        <v>105</v>
      </c>
      <c r="BD24" s="689"/>
      <c r="BF24" s="1651"/>
      <c r="BG24" s="1651"/>
      <c r="BH24" s="1651"/>
      <c r="BI24" s="1651"/>
      <c r="BJ24" s="1651"/>
      <c r="BK24" s="1651"/>
      <c r="BL24" s="1651"/>
      <c r="BM24" s="1651"/>
      <c r="BN24" s="1651"/>
      <c r="BO24" s="1651"/>
      <c r="BP24" s="1651"/>
      <c r="BQ24" s="1651"/>
      <c r="BR24" s="1651"/>
      <c r="BS24" s="1651"/>
      <c r="BT24" s="1651"/>
    </row>
    <row r="25" spans="1:74" s="14" customFormat="1">
      <c r="A25" s="927"/>
      <c r="C25" s="1814"/>
      <c r="D25" s="1815"/>
      <c r="E25" s="1815"/>
      <c r="F25" s="1815"/>
      <c r="G25" s="1815"/>
      <c r="H25" s="1815"/>
      <c r="I25" s="1815"/>
      <c r="J25" s="1815"/>
      <c r="K25" s="1815"/>
      <c r="L25" s="1815"/>
      <c r="M25" s="1815"/>
      <c r="N25" s="1815"/>
      <c r="O25" s="1815"/>
      <c r="P25" s="1815"/>
      <c r="Q25" s="1815"/>
      <c r="R25" s="1815"/>
      <c r="S25" s="1815"/>
      <c r="T25" s="1816"/>
      <c r="U25" s="1816"/>
      <c r="V25" s="1816"/>
      <c r="W25" s="1816"/>
      <c r="X25" s="1816"/>
      <c r="Y25" s="1816"/>
      <c r="Z25" s="1816"/>
      <c r="AA25" s="1816"/>
      <c r="AB25" s="1816"/>
      <c r="AC25" s="1816"/>
      <c r="AD25" s="1816"/>
      <c r="AE25" s="1816"/>
      <c r="AF25" s="1816"/>
      <c r="AG25" s="1816"/>
      <c r="AH25" s="1816"/>
      <c r="AI25" s="1816"/>
      <c r="AJ25" s="1816"/>
      <c r="AK25" s="147"/>
      <c r="AL25" s="31"/>
      <c r="AM25" s="31"/>
      <c r="AN25" s="73"/>
      <c r="AO25" s="73"/>
      <c r="AP25" s="1116"/>
      <c r="AQ25" s="397"/>
      <c r="AR25" s="398"/>
      <c r="AS25" s="398"/>
      <c r="AT25" s="398"/>
      <c r="AU25" s="398"/>
      <c r="AV25" s="561" t="s">
        <v>105</v>
      </c>
      <c r="BD25" s="46"/>
      <c r="BF25" s="199"/>
      <c r="BG25" s="199"/>
      <c r="BH25" s="199"/>
      <c r="BI25" s="199"/>
      <c r="BJ25" s="199"/>
      <c r="BK25" s="199"/>
      <c r="BL25" s="199"/>
      <c r="BM25" s="199"/>
      <c r="BN25" s="199"/>
      <c r="BO25" s="199"/>
      <c r="BP25" s="199"/>
      <c r="BQ25" s="199"/>
      <c r="BR25" s="199"/>
      <c r="BS25" s="199"/>
      <c r="BT25" s="199"/>
    </row>
    <row r="26" spans="1:74" s="1219" customFormat="1" ht="39" customHeight="1">
      <c r="A26" s="1274"/>
      <c r="B26" s="1565" t="s">
        <v>98</v>
      </c>
      <c r="C26" s="1559" t="s">
        <v>35</v>
      </c>
      <c r="D26" s="1690" t="s">
        <v>168</v>
      </c>
      <c r="E26" s="1767"/>
      <c r="F26" s="1767"/>
      <c r="G26" s="1767"/>
      <c r="H26" s="1767"/>
      <c r="I26" s="1768"/>
      <c r="J26" s="1788" t="s">
        <v>645</v>
      </c>
      <c r="K26" s="1789"/>
      <c r="L26" s="1790"/>
      <c r="M26" s="1790"/>
      <c r="N26" s="1790"/>
      <c r="O26" s="1790"/>
      <c r="P26" s="1791"/>
      <c r="Q26" s="1790"/>
      <c r="R26" s="1684" t="s">
        <v>882</v>
      </c>
      <c r="S26" s="1779"/>
      <c r="T26" s="1786" t="s">
        <v>664</v>
      </c>
      <c r="U26" s="1787"/>
      <c r="V26" s="1787"/>
      <c r="W26" s="1787"/>
      <c r="X26" s="1787"/>
      <c r="Y26" s="1811" t="s">
        <v>648</v>
      </c>
      <c r="Z26" s="1812"/>
      <c r="AA26" s="1276"/>
      <c r="AB26" s="1276"/>
      <c r="AC26" s="1784" t="s">
        <v>162</v>
      </c>
      <c r="AD26" s="1785"/>
      <c r="AE26" s="1785"/>
      <c r="AF26" s="1782" t="s">
        <v>883</v>
      </c>
      <c r="AG26" s="1783"/>
      <c r="AH26" s="1276"/>
      <c r="AI26" s="1277"/>
      <c r="AJ26" s="1780" t="s">
        <v>167</v>
      </c>
      <c r="AK26" s="1780"/>
      <c r="AL26" s="1780"/>
      <c r="AM26" s="1780"/>
      <c r="AN26" s="1781"/>
      <c r="AO26" s="1278"/>
      <c r="AP26" s="1279"/>
      <c r="AQ26" s="1280"/>
      <c r="AR26" s="1281"/>
      <c r="AS26" s="1281"/>
      <c r="AT26" s="1281"/>
      <c r="AU26" s="1281"/>
      <c r="AV26" s="1281"/>
      <c r="BD26" s="1282"/>
      <c r="BF26" s="1274"/>
      <c r="BG26" s="1274"/>
      <c r="BH26" s="1274"/>
      <c r="BI26" s="1274"/>
      <c r="BJ26" s="1274"/>
      <c r="BK26" s="1274"/>
      <c r="BL26" s="1274"/>
      <c r="BM26" s="1274"/>
      <c r="BN26" s="1274"/>
      <c r="BO26" s="1274"/>
      <c r="BP26" s="1274"/>
      <c r="BQ26" s="1274"/>
      <c r="BR26" s="1274"/>
      <c r="BS26" s="1274"/>
      <c r="BT26" s="1274"/>
    </row>
    <row r="27" spans="1:74" s="14" customFormat="1">
      <c r="A27" s="927"/>
      <c r="B27" s="143"/>
      <c r="D27" s="109">
        <v>1</v>
      </c>
      <c r="E27" s="50">
        <f t="shared" ref="E27" si="21">D27+1</f>
        <v>2</v>
      </c>
      <c r="F27" s="50">
        <f t="shared" ref="F27" si="22">E27+1</f>
        <v>3</v>
      </c>
      <c r="G27" s="50">
        <f t="shared" ref="G27" si="23">F27+1</f>
        <v>4</v>
      </c>
      <c r="H27" s="50">
        <f t="shared" ref="H27" si="24">G27+1</f>
        <v>5</v>
      </c>
      <c r="I27" s="50">
        <f t="shared" ref="I27" si="25">H27+1</f>
        <v>6</v>
      </c>
      <c r="J27" s="50">
        <f t="shared" ref="J27" si="26">I27+1</f>
        <v>7</v>
      </c>
      <c r="K27" s="50">
        <f t="shared" ref="K27" si="27">J27+1</f>
        <v>8</v>
      </c>
      <c r="L27" s="50">
        <f t="shared" ref="L27" si="28">K27+1</f>
        <v>9</v>
      </c>
      <c r="M27" s="50">
        <f t="shared" ref="M27" si="29">L27+1</f>
        <v>10</v>
      </c>
      <c r="N27" s="50">
        <f t="shared" ref="N27" si="30">M27+1</f>
        <v>11</v>
      </c>
      <c r="O27" s="50">
        <f t="shared" ref="O27" si="31">N27+1</f>
        <v>12</v>
      </c>
      <c r="P27" s="50">
        <f t="shared" ref="P27" si="32">O27+1</f>
        <v>13</v>
      </c>
      <c r="Q27" s="50">
        <f t="shared" ref="Q27" si="33">P27+1</f>
        <v>14</v>
      </c>
      <c r="R27" s="1005">
        <f t="shared" ref="R27" si="34">Q27+1</f>
        <v>15</v>
      </c>
      <c r="S27" s="1007">
        <f t="shared" ref="S27" si="35">R27+1</f>
        <v>16</v>
      </c>
      <c r="T27" s="50">
        <f t="shared" ref="T27" si="36">S27+1</f>
        <v>17</v>
      </c>
      <c r="U27" s="50">
        <f t="shared" ref="U27" si="37">T27+1</f>
        <v>18</v>
      </c>
      <c r="V27" s="50">
        <f t="shared" ref="V27" si="38">U27+1</f>
        <v>19</v>
      </c>
      <c r="W27" s="50">
        <f t="shared" ref="W27" si="39">V27+1</f>
        <v>20</v>
      </c>
      <c r="X27" s="50">
        <f t="shared" ref="X27" si="40">W27+1</f>
        <v>21</v>
      </c>
      <c r="Y27" s="1005">
        <f t="shared" ref="Y27" si="41">X27+1</f>
        <v>22</v>
      </c>
      <c r="Z27" s="1007">
        <f t="shared" ref="Z27" si="42">Y27+1</f>
        <v>23</v>
      </c>
      <c r="AA27" s="50">
        <f t="shared" ref="AA27" si="43">Z27+1</f>
        <v>24</v>
      </c>
      <c r="AB27" s="110">
        <f t="shared" ref="AB27" si="44">AA27+1</f>
        <v>25</v>
      </c>
      <c r="AC27" s="50">
        <f t="shared" ref="AC27" si="45">AB27+1</f>
        <v>26</v>
      </c>
      <c r="AD27" s="50">
        <f t="shared" ref="AD27" si="46">AC27+1</f>
        <v>27</v>
      </c>
      <c r="AE27" s="50">
        <f t="shared" ref="AE27" si="47">AD27+1</f>
        <v>28</v>
      </c>
      <c r="AF27" s="1005">
        <f t="shared" ref="AF27" si="48">AE27+1</f>
        <v>29</v>
      </c>
      <c r="AG27" s="1007">
        <f t="shared" ref="AG27" si="49">AF27+1</f>
        <v>30</v>
      </c>
      <c r="AH27" s="50">
        <f t="shared" ref="AH27" si="50">AG27+1</f>
        <v>31</v>
      </c>
      <c r="AI27" s="109">
        <f>AH27+1</f>
        <v>32</v>
      </c>
      <c r="AJ27" s="50">
        <f>AI27+1</f>
        <v>33</v>
      </c>
      <c r="AK27" s="50">
        <f t="shared" ref="AK27" si="51">AJ27+1</f>
        <v>34</v>
      </c>
      <c r="AL27" s="50">
        <f t="shared" ref="AL27" si="52">AK27+1</f>
        <v>35</v>
      </c>
      <c r="AM27" s="50">
        <f>AL27+1</f>
        <v>36</v>
      </c>
      <c r="AN27" s="110">
        <f>AM27+1</f>
        <v>37</v>
      </c>
      <c r="AO27" s="50">
        <f t="shared" ref="AO27" si="53">AN27+1</f>
        <v>38</v>
      </c>
      <c r="AP27" s="1116"/>
      <c r="AQ27" s="397"/>
      <c r="AR27" s="398"/>
      <c r="AS27" s="398"/>
      <c r="AT27" s="398"/>
      <c r="AU27" s="398"/>
      <c r="AV27" s="561"/>
      <c r="BD27" s="46"/>
      <c r="BF27" s="199"/>
      <c r="BG27" s="199"/>
      <c r="BH27" s="199"/>
      <c r="BI27" s="199"/>
      <c r="BJ27" s="199"/>
      <c r="BK27" s="199"/>
      <c r="BL27" s="199"/>
      <c r="BM27" s="199"/>
      <c r="BN27" s="199"/>
      <c r="BO27" s="199"/>
      <c r="BP27" s="199"/>
      <c r="BQ27" s="199"/>
      <c r="BR27" s="199"/>
      <c r="BS27" s="199"/>
      <c r="BT27" s="199"/>
    </row>
    <row r="28" spans="1:74" s="14" customFormat="1" ht="140" customHeight="1">
      <c r="A28" s="927"/>
      <c r="B28" s="143"/>
      <c r="C28" s="1233" t="s">
        <v>861</v>
      </c>
      <c r="D28" s="1234" t="s">
        <v>244</v>
      </c>
      <c r="E28" s="1235" t="s">
        <v>245</v>
      </c>
      <c r="F28" s="1235" t="s">
        <v>280</v>
      </c>
      <c r="G28" s="1235" t="s">
        <v>281</v>
      </c>
      <c r="H28" s="805" t="s">
        <v>247</v>
      </c>
      <c r="I28" s="1002" t="s">
        <v>604</v>
      </c>
      <c r="J28" s="1239" t="s">
        <v>249</v>
      </c>
      <c r="K28" s="1240" t="s">
        <v>251</v>
      </c>
      <c r="L28" s="1240" t="s">
        <v>282</v>
      </c>
      <c r="M28" s="1240" t="s">
        <v>282</v>
      </c>
      <c r="N28" s="1240" t="s">
        <v>282</v>
      </c>
      <c r="O28" s="1240" t="s">
        <v>282</v>
      </c>
      <c r="P28" s="1240" t="s">
        <v>282</v>
      </c>
      <c r="Q28" s="1201" t="s">
        <v>415</v>
      </c>
      <c r="R28" s="602" t="s">
        <v>257</v>
      </c>
      <c r="S28" s="400" t="s">
        <v>363</v>
      </c>
      <c r="T28" s="1010" t="s">
        <v>709</v>
      </c>
      <c r="U28" s="1010" t="s">
        <v>283</v>
      </c>
      <c r="V28" s="1010" t="s">
        <v>279</v>
      </c>
      <c r="W28" s="1010" t="s">
        <v>261</v>
      </c>
      <c r="X28" s="872" t="s">
        <v>262</v>
      </c>
      <c r="Y28" s="523" t="s">
        <v>995</v>
      </c>
      <c r="Z28" s="599" t="s">
        <v>996</v>
      </c>
      <c r="AA28" s="1010" t="s">
        <v>265</v>
      </c>
      <c r="AB28" s="1010" t="s">
        <v>266</v>
      </c>
      <c r="AC28" s="1239" t="s">
        <v>627</v>
      </c>
      <c r="AD28" s="1010" t="s">
        <v>268</v>
      </c>
      <c r="AE28" s="1010" t="s">
        <v>269</v>
      </c>
      <c r="AF28" s="186" t="s">
        <v>344</v>
      </c>
      <c r="AG28" s="187" t="s">
        <v>270</v>
      </c>
      <c r="AH28" s="1010" t="s">
        <v>271</v>
      </c>
      <c r="AI28" s="1239" t="s">
        <v>812</v>
      </c>
      <c r="AJ28" s="1264" t="s">
        <v>809</v>
      </c>
      <c r="AK28" s="1547" t="s">
        <v>14</v>
      </c>
      <c r="AL28" s="1235" t="s">
        <v>1</v>
      </c>
      <c r="AM28" s="1010" t="s">
        <v>810</v>
      </c>
      <c r="AN28" s="1002" t="s">
        <v>746</v>
      </c>
      <c r="AO28" s="239" t="s">
        <v>272</v>
      </c>
      <c r="AP28" s="1116"/>
      <c r="AQ28" s="397" t="s">
        <v>564</v>
      </c>
      <c r="AR28" s="805" t="s">
        <v>357</v>
      </c>
      <c r="AS28" s="988" t="s">
        <v>273</v>
      </c>
      <c r="AT28" s="806" t="s">
        <v>567</v>
      </c>
      <c r="AU28" s="1008" t="s">
        <v>811</v>
      </c>
      <c r="AV28" s="1008" t="s">
        <v>745</v>
      </c>
      <c r="BD28" s="46"/>
      <c r="BE28" s="1148" t="s">
        <v>822</v>
      </c>
      <c r="BF28" s="199"/>
      <c r="BG28" s="199"/>
      <c r="BH28" s="199"/>
      <c r="BI28" s="199"/>
      <c r="BJ28" s="199"/>
      <c r="BK28" s="199"/>
      <c r="BL28" s="199"/>
      <c r="BM28" s="199"/>
      <c r="BN28" s="199"/>
      <c r="BO28" s="199"/>
      <c r="BP28" s="199"/>
      <c r="BQ28" s="199"/>
      <c r="BR28" s="199"/>
      <c r="BS28" s="199"/>
      <c r="BT28" s="199"/>
    </row>
    <row r="29" spans="1:74" s="14" customFormat="1">
      <c r="A29" s="936">
        <f>A22+1</f>
        <v>11</v>
      </c>
      <c r="B29" s="879">
        <f>B22+1</f>
        <v>9</v>
      </c>
      <c r="C29" s="67" t="s">
        <v>197</v>
      </c>
      <c r="D29" s="630">
        <v>226</v>
      </c>
      <c r="E29" s="616">
        <f>2*D29</f>
        <v>452</v>
      </c>
      <c r="F29" s="616">
        <f>2*197</f>
        <v>394</v>
      </c>
      <c r="G29" s="632">
        <f>F29*1.15</f>
        <v>453.09999999999997</v>
      </c>
      <c r="H29" s="620">
        <f>E29*0.23</f>
        <v>103.96000000000001</v>
      </c>
      <c r="I29" s="628">
        <f>0.5*H29*1.1</f>
        <v>57.178000000000011</v>
      </c>
      <c r="J29" s="1244" t="s">
        <v>136</v>
      </c>
      <c r="K29" s="617">
        <f>135-15</f>
        <v>120</v>
      </c>
      <c r="L29" s="1241" t="s">
        <v>136</v>
      </c>
      <c r="M29" s="1241" t="s">
        <v>136</v>
      </c>
      <c r="N29" s="1241" t="s">
        <v>136</v>
      </c>
      <c r="O29" s="1241" t="s">
        <v>136</v>
      </c>
      <c r="P29" s="1241" t="s">
        <v>136</v>
      </c>
      <c r="Q29" s="1243">
        <f>SUM(J29:P29)</f>
        <v>120</v>
      </c>
      <c r="R29" s="621">
        <f>2*Q29</f>
        <v>240</v>
      </c>
      <c r="S29" s="622">
        <f>R29+(2*71)</f>
        <v>382</v>
      </c>
      <c r="T29" s="691" t="s">
        <v>136</v>
      </c>
      <c r="U29" s="1012">
        <v>82</v>
      </c>
      <c r="V29" s="691" t="s">
        <v>136</v>
      </c>
      <c r="W29" s="691" t="s">
        <v>136</v>
      </c>
      <c r="X29" s="1011">
        <f>SUM(T29:W29)</f>
        <v>82</v>
      </c>
      <c r="Y29" s="1016">
        <f>X29*2</f>
        <v>164</v>
      </c>
      <c r="Z29" s="1017">
        <f>Y29+23</f>
        <v>187</v>
      </c>
      <c r="AA29" s="618">
        <f>Z29-H29</f>
        <v>83.039999999999992</v>
      </c>
      <c r="AB29" s="625">
        <f>Z29-I29</f>
        <v>129.822</v>
      </c>
      <c r="AC29" s="617">
        <f>D29</f>
        <v>226</v>
      </c>
      <c r="AD29" s="624">
        <f t="shared" ref="AD29:AD33" si="54">(33.89)+(AC29*0.2095)</f>
        <v>81.236999999999995</v>
      </c>
      <c r="AE29" s="624">
        <f>X29-U29+AD29</f>
        <v>81.236999999999995</v>
      </c>
      <c r="AF29" s="281">
        <f>2*AE29</f>
        <v>162.47399999999999</v>
      </c>
      <c r="AG29" s="369">
        <f>AF29+(23)</f>
        <v>185.47399999999999</v>
      </c>
      <c r="AH29" s="659">
        <f>AG29-I29</f>
        <v>128.29599999999999</v>
      </c>
      <c r="AI29" s="1283" t="s">
        <v>884</v>
      </c>
      <c r="AJ29" s="698">
        <v>74</v>
      </c>
      <c r="AK29" s="617">
        <f>(2*AJ29)+(2*71)+(2*45)</f>
        <v>380</v>
      </c>
      <c r="AL29" s="671">
        <f>S29-AK29</f>
        <v>2</v>
      </c>
      <c r="AM29" s="623">
        <f>31+15</f>
        <v>46</v>
      </c>
      <c r="AN29" s="273">
        <f>373+(23)+AM29</f>
        <v>442</v>
      </c>
      <c r="AO29" s="274">
        <f>Z29-AN29</f>
        <v>-255</v>
      </c>
      <c r="AP29" s="1116"/>
      <c r="AQ29" s="67" t="s">
        <v>205</v>
      </c>
      <c r="AR29" s="276">
        <f>H29</f>
        <v>103.96000000000001</v>
      </c>
      <c r="AS29" s="183">
        <f>Z29</f>
        <v>187</v>
      </c>
      <c r="AT29" s="183">
        <f>AN29</f>
        <v>442</v>
      </c>
      <c r="AU29" s="733">
        <f t="shared" ref="AU29:AU33" si="55">S29-G29</f>
        <v>-71.099999999999966</v>
      </c>
      <c r="AV29" s="460">
        <f>S29-AK29</f>
        <v>2</v>
      </c>
      <c r="BD29" s="46"/>
      <c r="BE29" s="1622">
        <f>B29</f>
        <v>9</v>
      </c>
      <c r="BF29" s="199"/>
      <c r="BG29" s="1630">
        <v>1</v>
      </c>
      <c r="BH29" s="199"/>
      <c r="BI29" s="199"/>
      <c r="BJ29" s="199"/>
      <c r="BK29" s="199"/>
      <c r="BL29" s="199"/>
      <c r="BM29" s="199"/>
      <c r="BN29" s="199"/>
      <c r="BO29" s="199"/>
      <c r="BP29" s="199"/>
      <c r="BQ29" s="199"/>
      <c r="BR29" s="199"/>
      <c r="BS29" s="199"/>
      <c r="BT29" s="199"/>
    </row>
    <row r="30" spans="1:74" s="14" customFormat="1">
      <c r="A30" s="936">
        <f>A29+1</f>
        <v>12</v>
      </c>
      <c r="B30" s="879">
        <f>B29+1</f>
        <v>10</v>
      </c>
      <c r="C30" s="67" t="s">
        <v>699</v>
      </c>
      <c r="D30" s="630">
        <v>239</v>
      </c>
      <c r="E30" s="616">
        <f t="shared" ref="E30:E33" si="56">2*D30</f>
        <v>478</v>
      </c>
      <c r="F30" s="616">
        <f>2*205</f>
        <v>410</v>
      </c>
      <c r="G30" s="632">
        <f t="shared" ref="G30:G33" si="57">F30*1.15</f>
        <v>471.49999999999994</v>
      </c>
      <c r="H30" s="620">
        <f t="shared" ref="H30:H33" si="58">E30*0.23</f>
        <v>109.94</v>
      </c>
      <c r="I30" s="628">
        <f t="shared" ref="I30:I33" si="59">0.5*H30*1.1</f>
        <v>60.467000000000006</v>
      </c>
      <c r="J30" s="1273" t="s">
        <v>136</v>
      </c>
      <c r="K30" s="617">
        <f>246-99</f>
        <v>147</v>
      </c>
      <c r="L30" s="1242" t="s">
        <v>136</v>
      </c>
      <c r="M30" s="1242" t="s">
        <v>136</v>
      </c>
      <c r="N30" s="1242" t="s">
        <v>136</v>
      </c>
      <c r="O30" s="1242" t="s">
        <v>136</v>
      </c>
      <c r="P30" s="1242" t="s">
        <v>136</v>
      </c>
      <c r="Q30" s="1243">
        <f t="shared" ref="Q30:Q33" si="60">SUM(J30:P30)</f>
        <v>147</v>
      </c>
      <c r="R30" s="621">
        <f t="shared" ref="R30:R33" si="61">2*Q30</f>
        <v>294</v>
      </c>
      <c r="S30" s="622">
        <f t="shared" ref="S30:S33" si="62">R30+(2*71)</f>
        <v>436</v>
      </c>
      <c r="T30" s="665" t="s">
        <v>136</v>
      </c>
      <c r="U30" s="1012">
        <v>83</v>
      </c>
      <c r="V30" s="665" t="s">
        <v>136</v>
      </c>
      <c r="W30" s="665" t="s">
        <v>136</v>
      </c>
      <c r="X30" s="1011">
        <f t="shared" ref="X30:X33" si="63">SUM(T30:W30)</f>
        <v>83</v>
      </c>
      <c r="Y30" s="1016">
        <f t="shared" ref="Y30:Y33" si="64">X30*2</f>
        <v>166</v>
      </c>
      <c r="Z30" s="1017">
        <f t="shared" ref="Z30:Z33" si="65">Y30+23</f>
        <v>189</v>
      </c>
      <c r="AA30" s="618">
        <f t="shared" ref="AA30:AA33" si="66">Z30-H30</f>
        <v>79.06</v>
      </c>
      <c r="AB30" s="625">
        <f t="shared" ref="AB30:AB33" si="67">Z30-I30</f>
        <v>128.53299999999999</v>
      </c>
      <c r="AC30" s="617">
        <f t="shared" ref="AC30:AC33" si="68">D30</f>
        <v>239</v>
      </c>
      <c r="AD30" s="624">
        <f t="shared" si="54"/>
        <v>83.960499999999996</v>
      </c>
      <c r="AE30" s="624">
        <f t="shared" ref="AE30:AE33" si="69">X30-U30+AD30</f>
        <v>83.960499999999996</v>
      </c>
      <c r="AF30" s="281">
        <f t="shared" ref="AF30:AF33" si="70">2*AE30</f>
        <v>167.92099999999999</v>
      </c>
      <c r="AG30" s="369">
        <f t="shared" ref="AG30:AG33" si="71">AF30+(23)</f>
        <v>190.92099999999999</v>
      </c>
      <c r="AH30" s="659">
        <f t="shared" ref="AH30:AH33" si="72">AG30-I30</f>
        <v>130.45399999999998</v>
      </c>
      <c r="AI30" s="1283" t="s">
        <v>884</v>
      </c>
      <c r="AJ30" s="698">
        <v>74</v>
      </c>
      <c r="AK30" s="617">
        <f t="shared" ref="AK30:AK33" si="73">(2*AJ30)+(2*71)+(2*45)</f>
        <v>380</v>
      </c>
      <c r="AL30" s="671">
        <f t="shared" ref="AL30:AL33" si="74">S30-AK30</f>
        <v>56</v>
      </c>
      <c r="AM30" s="623">
        <f>15+15</f>
        <v>30</v>
      </c>
      <c r="AN30" s="273">
        <f t="shared" ref="AN30:AN33" si="75">373+(23)+AM30</f>
        <v>426</v>
      </c>
      <c r="AO30" s="274">
        <f>Z30-AN30</f>
        <v>-237</v>
      </c>
      <c r="AP30" s="1116"/>
      <c r="AQ30" s="67" t="s">
        <v>206</v>
      </c>
      <c r="AR30" s="276">
        <f>H30</f>
        <v>109.94</v>
      </c>
      <c r="AS30" s="183">
        <f>Z30</f>
        <v>189</v>
      </c>
      <c r="AT30" s="183">
        <f t="shared" ref="AT30:AT33" si="76">AN30</f>
        <v>426</v>
      </c>
      <c r="AU30" s="733">
        <f t="shared" si="55"/>
        <v>-35.499999999999943</v>
      </c>
      <c r="AV30" s="460">
        <f>S30-AK30</f>
        <v>56</v>
      </c>
      <c r="BD30" s="46"/>
      <c r="BE30" s="1622">
        <f t="shared" ref="BE30:BE33" si="77">B30</f>
        <v>10</v>
      </c>
      <c r="BF30" s="199"/>
      <c r="BG30" s="1630">
        <v>1</v>
      </c>
      <c r="BH30" s="199"/>
      <c r="BI30" s="199"/>
      <c r="BJ30" s="199"/>
      <c r="BK30" s="199"/>
      <c r="BL30" s="199"/>
      <c r="BM30" s="199"/>
      <c r="BN30" s="199"/>
      <c r="BO30" s="199"/>
      <c r="BP30" s="199"/>
      <c r="BQ30" s="199"/>
      <c r="BR30" s="199"/>
      <c r="BS30" s="199"/>
      <c r="BT30" s="199"/>
    </row>
    <row r="31" spans="1:74" s="14" customFormat="1">
      <c r="A31" s="936">
        <f t="shared" ref="A31:A33" si="78">A30+1</f>
        <v>13</v>
      </c>
      <c r="B31" s="879">
        <f t="shared" ref="B31:B33" si="79">B30+1</f>
        <v>11</v>
      </c>
      <c r="C31" s="67" t="s">
        <v>878</v>
      </c>
      <c r="D31" s="630">
        <v>240</v>
      </c>
      <c r="E31" s="616">
        <f t="shared" si="56"/>
        <v>480</v>
      </c>
      <c r="F31" s="616">
        <f>2*219</f>
        <v>438</v>
      </c>
      <c r="G31" s="632">
        <f t="shared" si="57"/>
        <v>503.7</v>
      </c>
      <c r="H31" s="620">
        <f t="shared" si="58"/>
        <v>110.4</v>
      </c>
      <c r="I31" s="628">
        <f t="shared" si="59"/>
        <v>60.720000000000006</v>
      </c>
      <c r="J31" s="1244" t="s">
        <v>136</v>
      </c>
      <c r="K31" s="617">
        <f>181-15</f>
        <v>166</v>
      </c>
      <c r="L31" s="1241" t="s">
        <v>136</v>
      </c>
      <c r="M31" s="1241" t="s">
        <v>136</v>
      </c>
      <c r="N31" s="1241" t="s">
        <v>136</v>
      </c>
      <c r="O31" s="1241" t="s">
        <v>136</v>
      </c>
      <c r="P31" s="1241" t="s">
        <v>136</v>
      </c>
      <c r="Q31" s="1243">
        <f t="shared" si="60"/>
        <v>166</v>
      </c>
      <c r="R31" s="621">
        <f t="shared" si="61"/>
        <v>332</v>
      </c>
      <c r="S31" s="622">
        <f t="shared" si="62"/>
        <v>474</v>
      </c>
      <c r="T31" s="691" t="s">
        <v>136</v>
      </c>
      <c r="U31" s="1012">
        <v>87</v>
      </c>
      <c r="V31" s="691" t="s">
        <v>136</v>
      </c>
      <c r="W31" s="691" t="s">
        <v>136</v>
      </c>
      <c r="X31" s="1011">
        <f t="shared" si="63"/>
        <v>87</v>
      </c>
      <c r="Y31" s="1016">
        <f t="shared" si="64"/>
        <v>174</v>
      </c>
      <c r="Z31" s="1017">
        <f t="shared" si="65"/>
        <v>197</v>
      </c>
      <c r="AA31" s="618">
        <f t="shared" si="66"/>
        <v>86.6</v>
      </c>
      <c r="AB31" s="625">
        <f t="shared" si="67"/>
        <v>136.28</v>
      </c>
      <c r="AC31" s="617">
        <f t="shared" si="68"/>
        <v>240</v>
      </c>
      <c r="AD31" s="624">
        <f t="shared" si="54"/>
        <v>84.17</v>
      </c>
      <c r="AE31" s="624">
        <f t="shared" si="69"/>
        <v>84.17</v>
      </c>
      <c r="AF31" s="281">
        <f t="shared" si="70"/>
        <v>168.34</v>
      </c>
      <c r="AG31" s="369">
        <f t="shared" si="71"/>
        <v>191.34</v>
      </c>
      <c r="AH31" s="659">
        <f t="shared" si="72"/>
        <v>130.62</v>
      </c>
      <c r="AI31" s="1283" t="s">
        <v>884</v>
      </c>
      <c r="AJ31" s="698">
        <v>74</v>
      </c>
      <c r="AK31" s="617">
        <f t="shared" si="73"/>
        <v>380</v>
      </c>
      <c r="AL31" s="671">
        <f t="shared" si="74"/>
        <v>94</v>
      </c>
      <c r="AM31" s="623">
        <v>15</v>
      </c>
      <c r="AN31" s="273">
        <f t="shared" si="75"/>
        <v>411</v>
      </c>
      <c r="AO31" s="274">
        <f>Z31-AN31</f>
        <v>-214</v>
      </c>
      <c r="AP31" s="1116"/>
      <c r="AQ31" s="67" t="s">
        <v>813</v>
      </c>
      <c r="AR31" s="276">
        <f>H31</f>
        <v>110.4</v>
      </c>
      <c r="AS31" s="183">
        <f>Z31</f>
        <v>197</v>
      </c>
      <c r="AT31" s="183">
        <f t="shared" si="76"/>
        <v>411</v>
      </c>
      <c r="AU31" s="733">
        <f t="shared" si="55"/>
        <v>-29.699999999999989</v>
      </c>
      <c r="AV31" s="460">
        <f>S31-AK31</f>
        <v>94</v>
      </c>
      <c r="BD31" s="46"/>
      <c r="BE31" s="1622">
        <f t="shared" si="77"/>
        <v>11</v>
      </c>
      <c r="BF31" s="199"/>
      <c r="BG31" s="1630">
        <v>1</v>
      </c>
      <c r="BH31" s="199"/>
      <c r="BI31" s="199"/>
      <c r="BJ31" s="199"/>
      <c r="BK31" s="199"/>
      <c r="BL31" s="199"/>
      <c r="BM31" s="199"/>
      <c r="BN31" s="199"/>
      <c r="BO31" s="199"/>
      <c r="BP31" s="199"/>
      <c r="BQ31" s="199"/>
      <c r="BR31" s="199"/>
      <c r="BS31" s="199"/>
      <c r="BT31" s="199"/>
    </row>
    <row r="32" spans="1:74" s="14" customFormat="1">
      <c r="A32" s="936">
        <f t="shared" si="78"/>
        <v>14</v>
      </c>
      <c r="B32" s="886">
        <f>B8+1</f>
        <v>3</v>
      </c>
      <c r="C32" s="67" t="s">
        <v>199</v>
      </c>
      <c r="D32" s="630">
        <v>258</v>
      </c>
      <c r="E32" s="616">
        <f t="shared" si="56"/>
        <v>516</v>
      </c>
      <c r="F32" s="616">
        <f>2*237</f>
        <v>474</v>
      </c>
      <c r="G32" s="632">
        <f t="shared" si="57"/>
        <v>545.09999999999991</v>
      </c>
      <c r="H32" s="620">
        <f t="shared" si="58"/>
        <v>118.68</v>
      </c>
      <c r="I32" s="628">
        <f t="shared" si="59"/>
        <v>65.274000000000015</v>
      </c>
      <c r="J32" s="1273" t="s">
        <v>136</v>
      </c>
      <c r="K32" s="617">
        <f>226-15</f>
        <v>211</v>
      </c>
      <c r="L32" s="1242" t="s">
        <v>136</v>
      </c>
      <c r="M32" s="1242" t="s">
        <v>136</v>
      </c>
      <c r="N32" s="1242" t="s">
        <v>136</v>
      </c>
      <c r="O32" s="1242" t="s">
        <v>136</v>
      </c>
      <c r="P32" s="1242" t="s">
        <v>136</v>
      </c>
      <c r="Q32" s="1243">
        <f t="shared" si="60"/>
        <v>211</v>
      </c>
      <c r="R32" s="621">
        <f t="shared" si="61"/>
        <v>422</v>
      </c>
      <c r="S32" s="622">
        <f t="shared" si="62"/>
        <v>564</v>
      </c>
      <c r="T32" s="665" t="s">
        <v>136</v>
      </c>
      <c r="U32" s="1012">
        <v>92</v>
      </c>
      <c r="V32" s="665" t="s">
        <v>136</v>
      </c>
      <c r="W32" s="665" t="s">
        <v>136</v>
      </c>
      <c r="X32" s="1011">
        <f t="shared" si="63"/>
        <v>92</v>
      </c>
      <c r="Y32" s="1016">
        <f t="shared" si="64"/>
        <v>184</v>
      </c>
      <c r="Z32" s="1017">
        <f t="shared" si="65"/>
        <v>207</v>
      </c>
      <c r="AA32" s="618">
        <f t="shared" si="66"/>
        <v>88.32</v>
      </c>
      <c r="AB32" s="625">
        <f t="shared" si="67"/>
        <v>141.726</v>
      </c>
      <c r="AC32" s="617">
        <f t="shared" si="68"/>
        <v>258</v>
      </c>
      <c r="AD32" s="624">
        <f t="shared" si="54"/>
        <v>87.941000000000003</v>
      </c>
      <c r="AE32" s="624">
        <f t="shared" si="69"/>
        <v>87.941000000000003</v>
      </c>
      <c r="AF32" s="281">
        <f t="shared" si="70"/>
        <v>175.88200000000001</v>
      </c>
      <c r="AG32" s="369">
        <f t="shared" si="71"/>
        <v>198.88200000000001</v>
      </c>
      <c r="AH32" s="659">
        <f t="shared" si="72"/>
        <v>133.608</v>
      </c>
      <c r="AI32" s="1283" t="s">
        <v>884</v>
      </c>
      <c r="AJ32" s="698">
        <v>74</v>
      </c>
      <c r="AK32" s="617">
        <f t="shared" si="73"/>
        <v>380</v>
      </c>
      <c r="AL32" s="671">
        <f t="shared" si="74"/>
        <v>184</v>
      </c>
      <c r="AM32" s="623">
        <f>15+15</f>
        <v>30</v>
      </c>
      <c r="AN32" s="273">
        <f t="shared" si="75"/>
        <v>426</v>
      </c>
      <c r="AO32" s="274">
        <f>Z32-AN32</f>
        <v>-219</v>
      </c>
      <c r="AP32" s="1116"/>
      <c r="AQ32" s="67" t="s">
        <v>207</v>
      </c>
      <c r="AR32" s="276">
        <f>H32</f>
        <v>118.68</v>
      </c>
      <c r="AS32" s="183">
        <f>Z32</f>
        <v>207</v>
      </c>
      <c r="AT32" s="183">
        <f t="shared" si="76"/>
        <v>426</v>
      </c>
      <c r="AU32" s="733">
        <f t="shared" si="55"/>
        <v>18.900000000000091</v>
      </c>
      <c r="AV32" s="460">
        <f>S32-AK32</f>
        <v>184</v>
      </c>
      <c r="BD32" s="46"/>
      <c r="BE32" s="1623">
        <f t="shared" si="77"/>
        <v>3</v>
      </c>
      <c r="BF32" s="199"/>
      <c r="BG32" s="199"/>
      <c r="BH32" s="1630">
        <v>1</v>
      </c>
      <c r="BI32" s="1630"/>
      <c r="BJ32" s="199"/>
      <c r="BK32" s="199"/>
      <c r="BL32" s="199"/>
      <c r="BM32" s="199"/>
      <c r="BN32" s="199"/>
      <c r="BO32" s="199"/>
      <c r="BP32" s="199"/>
      <c r="BQ32" s="199"/>
      <c r="BR32" s="199"/>
      <c r="BS32" s="199"/>
      <c r="BT32" s="199"/>
    </row>
    <row r="33" spans="1:72" s="14" customFormat="1">
      <c r="A33" s="936">
        <f t="shared" si="78"/>
        <v>15</v>
      </c>
      <c r="B33" s="886">
        <f t="shared" si="79"/>
        <v>4</v>
      </c>
      <c r="C33" s="67" t="s">
        <v>198</v>
      </c>
      <c r="D33" s="630">
        <v>269</v>
      </c>
      <c r="E33" s="616">
        <f t="shared" si="56"/>
        <v>538</v>
      </c>
      <c r="F33" s="616">
        <f>2*251</f>
        <v>502</v>
      </c>
      <c r="G33" s="632">
        <f t="shared" si="57"/>
        <v>577.29999999999995</v>
      </c>
      <c r="H33" s="620">
        <f t="shared" si="58"/>
        <v>123.74000000000001</v>
      </c>
      <c r="I33" s="628">
        <f t="shared" si="59"/>
        <v>68.057000000000016</v>
      </c>
      <c r="J33" s="1273" t="s">
        <v>136</v>
      </c>
      <c r="K33" s="617">
        <f>239-15</f>
        <v>224</v>
      </c>
      <c r="L33" s="1242" t="s">
        <v>136</v>
      </c>
      <c r="M33" s="1242" t="s">
        <v>136</v>
      </c>
      <c r="N33" s="1242" t="s">
        <v>136</v>
      </c>
      <c r="O33" s="1242" t="s">
        <v>136</v>
      </c>
      <c r="P33" s="1242" t="s">
        <v>136</v>
      </c>
      <c r="Q33" s="1243">
        <f t="shared" si="60"/>
        <v>224</v>
      </c>
      <c r="R33" s="621">
        <f t="shared" si="61"/>
        <v>448</v>
      </c>
      <c r="S33" s="622">
        <f t="shared" si="62"/>
        <v>590</v>
      </c>
      <c r="T33" s="665" t="s">
        <v>136</v>
      </c>
      <c r="U33" s="1012">
        <v>92</v>
      </c>
      <c r="V33" s="665" t="s">
        <v>136</v>
      </c>
      <c r="W33" s="665" t="s">
        <v>136</v>
      </c>
      <c r="X33" s="1011">
        <f t="shared" si="63"/>
        <v>92</v>
      </c>
      <c r="Y33" s="1016">
        <f t="shared" si="64"/>
        <v>184</v>
      </c>
      <c r="Z33" s="1017">
        <f t="shared" si="65"/>
        <v>207</v>
      </c>
      <c r="AA33" s="618">
        <f t="shared" si="66"/>
        <v>83.259999999999991</v>
      </c>
      <c r="AB33" s="625">
        <f t="shared" si="67"/>
        <v>138.94299999999998</v>
      </c>
      <c r="AC33" s="617">
        <f t="shared" si="68"/>
        <v>269</v>
      </c>
      <c r="AD33" s="624">
        <f t="shared" si="54"/>
        <v>90.245499999999993</v>
      </c>
      <c r="AE33" s="624">
        <f t="shared" si="69"/>
        <v>90.245499999999993</v>
      </c>
      <c r="AF33" s="281">
        <f t="shared" si="70"/>
        <v>180.49099999999999</v>
      </c>
      <c r="AG33" s="323">
        <f t="shared" si="71"/>
        <v>203.49099999999999</v>
      </c>
      <c r="AH33" s="659">
        <f t="shared" si="72"/>
        <v>135.43399999999997</v>
      </c>
      <c r="AI33" s="1283" t="s">
        <v>884</v>
      </c>
      <c r="AJ33" s="698">
        <v>74</v>
      </c>
      <c r="AK33" s="617">
        <f t="shared" si="73"/>
        <v>380</v>
      </c>
      <c r="AL33" s="671">
        <f t="shared" si="74"/>
        <v>210</v>
      </c>
      <c r="AM33" s="623">
        <f>15+15</f>
        <v>30</v>
      </c>
      <c r="AN33" s="273">
        <f t="shared" si="75"/>
        <v>426</v>
      </c>
      <c r="AO33" s="274">
        <f>Z33-AN33</f>
        <v>-219</v>
      </c>
      <c r="AP33" s="1116"/>
      <c r="AQ33" s="67" t="s">
        <v>208</v>
      </c>
      <c r="AR33" s="276">
        <f>H33</f>
        <v>123.74000000000001</v>
      </c>
      <c r="AS33" s="183">
        <f>Z33</f>
        <v>207</v>
      </c>
      <c r="AT33" s="183">
        <f t="shared" si="76"/>
        <v>426</v>
      </c>
      <c r="AU33" s="733">
        <f t="shared" si="55"/>
        <v>12.700000000000045</v>
      </c>
      <c r="AV33" s="460">
        <f>S33-AK33</f>
        <v>210</v>
      </c>
      <c r="BD33" s="46"/>
      <c r="BE33" s="1623">
        <f t="shared" si="77"/>
        <v>4</v>
      </c>
      <c r="BF33" s="199"/>
      <c r="BG33" s="199"/>
      <c r="BH33" s="1630">
        <v>1</v>
      </c>
      <c r="BI33" s="1630"/>
      <c r="BJ33" s="199"/>
      <c r="BK33" s="199"/>
      <c r="BL33" s="199"/>
      <c r="BM33" s="199"/>
      <c r="BN33" s="199"/>
      <c r="BO33" s="199"/>
      <c r="BP33" s="199"/>
      <c r="BQ33" s="199"/>
      <c r="BR33" s="199"/>
      <c r="BS33" s="199"/>
      <c r="BT33" s="199"/>
    </row>
    <row r="34" spans="1:72" s="14" customFormat="1" ht="90" customHeight="1">
      <c r="A34" s="927"/>
      <c r="B34" s="143"/>
      <c r="C34" s="1834" t="s">
        <v>875</v>
      </c>
      <c r="D34" s="1836" t="s">
        <v>879</v>
      </c>
      <c r="E34" s="1837"/>
      <c r="F34" s="1808" t="s">
        <v>880</v>
      </c>
      <c r="G34" s="1859" t="s">
        <v>881</v>
      </c>
      <c r="H34" s="1238" t="s">
        <v>345</v>
      </c>
      <c r="I34" s="1892"/>
      <c r="J34" s="626"/>
      <c r="K34" s="1245" t="s">
        <v>346</v>
      </c>
      <c r="L34" s="147"/>
      <c r="M34" s="147"/>
      <c r="N34" s="147"/>
      <c r="O34" s="147"/>
      <c r="P34" s="147"/>
      <c r="Q34" s="147"/>
      <c r="R34" s="626"/>
      <c r="S34" s="1843" t="s">
        <v>981</v>
      </c>
      <c r="T34" s="147"/>
      <c r="U34" s="1798" t="s">
        <v>348</v>
      </c>
      <c r="V34" s="147"/>
      <c r="W34" s="147"/>
      <c r="X34" s="147"/>
      <c r="Y34" s="258"/>
      <c r="Z34" s="1864" t="s">
        <v>977</v>
      </c>
      <c r="AA34" s="31"/>
      <c r="AB34" s="1801" t="s">
        <v>349</v>
      </c>
      <c r="AC34" s="1803" t="s">
        <v>200</v>
      </c>
      <c r="AD34" s="1260" t="s">
        <v>350</v>
      </c>
      <c r="AE34" s="147"/>
      <c r="AF34" s="258"/>
      <c r="AG34" s="1864" t="s">
        <v>977</v>
      </c>
      <c r="AH34" s="631"/>
      <c r="AI34" s="1102"/>
      <c r="AJ34" s="1371" t="s">
        <v>1150</v>
      </c>
      <c r="AK34" s="1265"/>
      <c r="AL34" s="1596" t="s">
        <v>1199</v>
      </c>
      <c r="AM34" s="634"/>
      <c r="AN34" s="1810" t="s">
        <v>885</v>
      </c>
      <c r="AO34" s="615"/>
      <c r="AP34" s="1116"/>
      <c r="AQ34" s="1776"/>
      <c r="AR34" s="398"/>
      <c r="AS34" s="398"/>
      <c r="AT34" s="398"/>
      <c r="AU34" s="398"/>
      <c r="AV34" s="561"/>
      <c r="BD34" s="46"/>
      <c r="BF34" s="199"/>
      <c r="BG34" s="199"/>
      <c r="BH34" s="199"/>
      <c r="BI34" s="199"/>
      <c r="BJ34" s="199"/>
      <c r="BK34" s="199"/>
      <c r="BL34" s="199"/>
      <c r="BM34" s="199"/>
      <c r="BN34" s="199"/>
      <c r="BO34" s="199"/>
      <c r="BP34" s="199"/>
      <c r="BQ34" s="199"/>
      <c r="BR34" s="199"/>
      <c r="BS34" s="199"/>
      <c r="BT34" s="199"/>
    </row>
    <row r="35" spans="1:72" s="14" customFormat="1">
      <c r="A35" s="927"/>
      <c r="B35" s="143"/>
      <c r="C35" s="1835"/>
      <c r="D35" s="1838"/>
      <c r="E35" s="1837"/>
      <c r="F35" s="1809"/>
      <c r="G35" s="1806"/>
      <c r="H35" s="170"/>
      <c r="I35" s="1730"/>
      <c r="J35" s="629"/>
      <c r="K35" s="603"/>
      <c r="L35" s="603"/>
      <c r="M35" s="603"/>
      <c r="N35" s="603"/>
      <c r="O35" s="603"/>
      <c r="P35" s="603"/>
      <c r="Q35" s="603"/>
      <c r="R35" s="627"/>
      <c r="S35" s="1843"/>
      <c r="T35" s="603"/>
      <c r="U35" s="1737"/>
      <c r="V35" s="603"/>
      <c r="W35" s="603"/>
      <c r="X35" s="603"/>
      <c r="Y35" s="258"/>
      <c r="Z35" s="1865"/>
      <c r="AA35" s="31"/>
      <c r="AB35" s="1802"/>
      <c r="AC35" s="1804"/>
      <c r="AD35" s="603"/>
      <c r="AE35" s="603"/>
      <c r="AF35" s="258"/>
      <c r="AG35" s="1865"/>
      <c r="AH35" s="631"/>
      <c r="AI35" s="168"/>
      <c r="AJ35" s="72"/>
      <c r="AK35" s="1187"/>
      <c r="AL35" s="31"/>
      <c r="AM35" s="31"/>
      <c r="AN35" s="1810"/>
      <c r="AO35" s="73"/>
      <c r="AP35" s="1116"/>
      <c r="AQ35" s="1700"/>
      <c r="AR35" s="398"/>
      <c r="AS35" s="398"/>
      <c r="AT35" s="398"/>
      <c r="AU35" s="398"/>
      <c r="AV35" s="561" t="s">
        <v>105</v>
      </c>
      <c r="BD35" s="46"/>
      <c r="BF35" s="199"/>
      <c r="BG35" s="199"/>
      <c r="BH35" s="199"/>
      <c r="BI35" s="199"/>
      <c r="BJ35" s="199"/>
      <c r="BK35" s="199"/>
      <c r="BL35" s="199"/>
      <c r="BM35" s="199"/>
      <c r="BN35" s="199"/>
      <c r="BO35" s="199"/>
      <c r="BP35" s="199"/>
      <c r="BQ35" s="199"/>
      <c r="BR35" s="199"/>
      <c r="BS35" s="199"/>
      <c r="BT35" s="199"/>
    </row>
    <row r="36" spans="1:72" s="14" customFormat="1">
      <c r="A36" s="927"/>
      <c r="B36" s="143"/>
      <c r="C36" s="1835"/>
      <c r="D36" s="1838"/>
      <c r="E36" s="1837"/>
      <c r="F36" s="1809"/>
      <c r="G36" s="1806"/>
      <c r="H36" s="170"/>
      <c r="I36" s="1730"/>
      <c r="J36" s="629"/>
      <c r="K36" s="603"/>
      <c r="L36" s="603"/>
      <c r="M36" s="603"/>
      <c r="N36" s="603"/>
      <c r="O36" s="603"/>
      <c r="P36" s="603"/>
      <c r="Q36" s="603"/>
      <c r="R36" s="627"/>
      <c r="S36" s="1843"/>
      <c r="T36" s="603"/>
      <c r="U36" s="1737"/>
      <c r="V36" s="603"/>
      <c r="W36" s="603"/>
      <c r="X36" s="603"/>
      <c r="Y36" s="258"/>
      <c r="Z36" s="1865"/>
      <c r="AA36" s="31"/>
      <c r="AB36" s="1802"/>
      <c r="AC36" s="1804"/>
      <c r="AD36" s="603"/>
      <c r="AE36" s="603"/>
      <c r="AF36" s="258"/>
      <c r="AG36" s="1865"/>
      <c r="AH36" s="631"/>
      <c r="AI36" s="168"/>
      <c r="AJ36" s="72"/>
      <c r="AK36" s="1187"/>
      <c r="AL36" s="31"/>
      <c r="AM36" s="31"/>
      <c r="AN36" s="1810"/>
      <c r="AO36" s="73"/>
      <c r="AP36" s="1116"/>
      <c r="AQ36" s="1700"/>
      <c r="AR36" s="398"/>
      <c r="AS36" s="398"/>
      <c r="AT36" s="398"/>
      <c r="AU36" s="398"/>
      <c r="AV36" s="561"/>
      <c r="BD36" s="46"/>
      <c r="BF36" s="199"/>
      <c r="BG36" s="199"/>
      <c r="BH36" s="199"/>
      <c r="BI36" s="199"/>
      <c r="BJ36" s="199"/>
      <c r="BK36" s="199"/>
      <c r="BL36" s="199"/>
      <c r="BM36" s="199"/>
      <c r="BN36" s="199"/>
      <c r="BO36" s="199"/>
      <c r="BP36" s="199"/>
      <c r="BQ36" s="199"/>
      <c r="BR36" s="199"/>
      <c r="BS36" s="199"/>
      <c r="BT36" s="199"/>
    </row>
    <row r="37" spans="1:72" s="14" customFormat="1">
      <c r="A37" s="927"/>
      <c r="B37" s="143"/>
      <c r="C37" s="1835"/>
      <c r="D37" s="1838"/>
      <c r="E37" s="1837"/>
      <c r="F37" s="1809"/>
      <c r="G37" s="1806"/>
      <c r="H37" s="170"/>
      <c r="I37" s="1730"/>
      <c r="J37" s="629"/>
      <c r="K37" s="603"/>
      <c r="L37" s="603"/>
      <c r="M37" s="603"/>
      <c r="N37" s="603"/>
      <c r="O37" s="603"/>
      <c r="P37" s="603"/>
      <c r="Q37" s="603"/>
      <c r="R37" s="627"/>
      <c r="S37" s="1843"/>
      <c r="T37" s="603"/>
      <c r="U37" s="1737"/>
      <c r="V37" s="603"/>
      <c r="W37" s="603"/>
      <c r="X37" s="603"/>
      <c r="Y37" s="258"/>
      <c r="Z37" s="1865"/>
      <c r="AA37" s="31"/>
      <c r="AB37" s="1802"/>
      <c r="AC37" s="1804"/>
      <c r="AD37" s="603"/>
      <c r="AE37" s="603"/>
      <c r="AF37" s="258"/>
      <c r="AG37" s="1865"/>
      <c r="AH37" s="631"/>
      <c r="AI37" s="168"/>
      <c r="AJ37" s="72"/>
      <c r="AK37" s="1187"/>
      <c r="AL37" s="31"/>
      <c r="AM37" s="31"/>
      <c r="AN37" s="1810"/>
      <c r="AO37" s="73"/>
      <c r="AP37" s="1116"/>
      <c r="AQ37" s="1700"/>
      <c r="AR37" s="398"/>
      <c r="AS37" s="398"/>
      <c r="AT37" s="398"/>
      <c r="AU37" s="398"/>
      <c r="AV37" s="561"/>
      <c r="BD37" s="46"/>
      <c r="BF37" s="199"/>
      <c r="BG37" s="199"/>
      <c r="BH37" s="199"/>
      <c r="BI37" s="199"/>
      <c r="BJ37" s="199"/>
      <c r="BK37" s="199"/>
      <c r="BL37" s="199"/>
      <c r="BM37" s="199"/>
      <c r="BN37" s="199"/>
      <c r="BO37" s="199"/>
      <c r="BP37" s="199"/>
      <c r="BQ37" s="199"/>
      <c r="BR37" s="199"/>
      <c r="BS37" s="199"/>
      <c r="BT37" s="199"/>
    </row>
    <row r="38" spans="1:72" s="14" customFormat="1">
      <c r="A38" s="927"/>
      <c r="B38" s="143"/>
      <c r="C38" s="1835"/>
      <c r="D38" s="1838"/>
      <c r="E38" s="1837"/>
      <c r="F38" s="1809"/>
      <c r="G38" s="1806"/>
      <c r="H38" s="170"/>
      <c r="I38" s="1730"/>
      <c r="J38" s="629"/>
      <c r="K38" s="603"/>
      <c r="L38" s="603"/>
      <c r="M38" s="603"/>
      <c r="N38" s="603"/>
      <c r="O38" s="603"/>
      <c r="P38" s="603"/>
      <c r="Q38" s="603"/>
      <c r="R38" s="627"/>
      <c r="S38" s="1843"/>
      <c r="T38" s="603"/>
      <c r="U38" s="1737"/>
      <c r="V38" s="603"/>
      <c r="W38" s="603"/>
      <c r="X38" s="603"/>
      <c r="Y38" s="258"/>
      <c r="Z38" s="1865"/>
      <c r="AA38" s="31"/>
      <c r="AB38" s="1802"/>
      <c r="AC38" s="1804"/>
      <c r="AD38" s="603"/>
      <c r="AE38" s="603"/>
      <c r="AF38" s="258"/>
      <c r="AG38" s="1865"/>
      <c r="AH38" s="631"/>
      <c r="AI38" s="168"/>
      <c r="AJ38" s="72"/>
      <c r="AK38" s="1187"/>
      <c r="AL38" s="31"/>
      <c r="AM38" s="31"/>
      <c r="AN38" s="1188"/>
      <c r="AO38" s="73"/>
      <c r="AP38" s="1116"/>
      <c r="AQ38" s="1700"/>
      <c r="AR38" s="398"/>
      <c r="AS38" s="398"/>
      <c r="AT38" s="398"/>
      <c r="AU38" s="398"/>
      <c r="AV38" s="561"/>
      <c r="BD38" s="46"/>
      <c r="BF38" s="199"/>
      <c r="BG38" s="199"/>
      <c r="BH38" s="199"/>
      <c r="BI38" s="199"/>
      <c r="BJ38" s="199"/>
      <c r="BK38" s="199"/>
      <c r="BL38" s="199"/>
      <c r="BM38" s="199"/>
      <c r="BN38" s="199"/>
      <c r="BO38" s="199"/>
      <c r="BP38" s="199"/>
      <c r="BQ38" s="199"/>
      <c r="BR38" s="199"/>
      <c r="BS38" s="199"/>
      <c r="BT38" s="199"/>
    </row>
    <row r="39" spans="1:72" s="14" customFormat="1">
      <c r="A39" s="927"/>
      <c r="B39" s="143"/>
      <c r="C39" s="1835"/>
      <c r="D39" s="1838"/>
      <c r="E39" s="1837"/>
      <c r="F39" s="1809"/>
      <c r="G39" s="1806"/>
      <c r="H39" s="170"/>
      <c r="I39" s="1730"/>
      <c r="J39" s="629"/>
      <c r="K39" s="603"/>
      <c r="L39" s="603"/>
      <c r="M39" s="603"/>
      <c r="N39" s="603"/>
      <c r="O39" s="603"/>
      <c r="P39" s="603"/>
      <c r="Q39" s="603"/>
      <c r="R39" s="627"/>
      <c r="S39" s="1843"/>
      <c r="T39" s="603"/>
      <c r="U39" s="1737"/>
      <c r="V39" s="603"/>
      <c r="W39" s="603"/>
      <c r="X39" s="603"/>
      <c r="Y39" s="258"/>
      <c r="Z39" s="1865"/>
      <c r="AA39" s="31"/>
      <c r="AB39" s="1802"/>
      <c r="AC39" s="1804"/>
      <c r="AD39" s="603"/>
      <c r="AE39" s="603"/>
      <c r="AF39" s="258"/>
      <c r="AG39" s="1865"/>
      <c r="AH39" s="631"/>
      <c r="AI39" s="168"/>
      <c r="AJ39" s="72"/>
      <c r="AK39" s="1187"/>
      <c r="AL39" s="31"/>
      <c r="AM39" s="31"/>
      <c r="AN39" s="1188"/>
      <c r="AO39" s="73"/>
      <c r="AP39" s="1116"/>
      <c r="AQ39" s="1700"/>
      <c r="AR39" s="398"/>
      <c r="AS39" s="398"/>
      <c r="AT39" s="398"/>
      <c r="AU39" s="398"/>
      <c r="AV39" s="561"/>
      <c r="BD39" s="46"/>
      <c r="BF39" s="199"/>
      <c r="BG39" s="199"/>
      <c r="BH39" s="199"/>
      <c r="BI39" s="199"/>
      <c r="BJ39" s="199"/>
      <c r="BK39" s="199"/>
      <c r="BL39" s="199"/>
      <c r="BM39" s="199"/>
      <c r="BN39" s="199"/>
      <c r="BO39" s="199"/>
      <c r="BP39" s="199"/>
      <c r="BQ39" s="199"/>
      <c r="BR39" s="199"/>
      <c r="BS39" s="199"/>
      <c r="BT39" s="199"/>
    </row>
    <row r="40" spans="1:72" s="14" customFormat="1">
      <c r="A40" s="927"/>
      <c r="B40" s="143"/>
      <c r="C40" s="1835"/>
      <c r="D40" s="1838"/>
      <c r="E40" s="1837"/>
      <c r="F40" s="1809"/>
      <c r="G40" s="1806"/>
      <c r="H40" s="170"/>
      <c r="I40" s="1730"/>
      <c r="J40" s="629"/>
      <c r="K40" s="603"/>
      <c r="L40" s="603"/>
      <c r="M40" s="603"/>
      <c r="N40" s="603"/>
      <c r="O40" s="603"/>
      <c r="P40" s="603"/>
      <c r="Q40" s="603"/>
      <c r="R40" s="627"/>
      <c r="S40" s="1843"/>
      <c r="T40" s="603"/>
      <c r="U40" s="1737"/>
      <c r="V40" s="603"/>
      <c r="W40" s="603"/>
      <c r="X40" s="603"/>
      <c r="Y40" s="258"/>
      <c r="Z40" s="1865"/>
      <c r="AA40" s="31"/>
      <c r="AB40" s="1802"/>
      <c r="AC40" s="1804"/>
      <c r="AD40" s="603"/>
      <c r="AE40" s="603"/>
      <c r="AF40" s="258"/>
      <c r="AG40" s="1865"/>
      <c r="AH40" s="631"/>
      <c r="AI40" s="168"/>
      <c r="AJ40" s="72"/>
      <c r="AK40" s="1187"/>
      <c r="AL40" s="31"/>
      <c r="AM40" s="31"/>
      <c r="AN40" s="1188"/>
      <c r="AO40" s="73"/>
      <c r="AP40" s="1116"/>
      <c r="AQ40" s="1700"/>
      <c r="AR40" s="398"/>
      <c r="AS40" s="398"/>
      <c r="AT40" s="398"/>
      <c r="AU40" s="398"/>
      <c r="AV40" s="561"/>
      <c r="BD40" s="46"/>
      <c r="BF40" s="199"/>
      <c r="BG40" s="199"/>
      <c r="BH40" s="199"/>
      <c r="BI40" s="199"/>
      <c r="BJ40" s="199"/>
      <c r="BK40" s="199"/>
      <c r="BL40" s="199"/>
      <c r="BM40" s="199"/>
      <c r="BN40" s="199"/>
      <c r="BO40" s="199"/>
      <c r="BP40" s="199"/>
      <c r="BQ40" s="199"/>
      <c r="BR40" s="199"/>
      <c r="BS40" s="199"/>
      <c r="BT40" s="199"/>
    </row>
    <row r="41" spans="1:72" s="14" customFormat="1">
      <c r="A41" s="927"/>
      <c r="B41" s="143"/>
      <c r="C41" s="1835"/>
      <c r="D41" s="1838"/>
      <c r="E41" s="1837"/>
      <c r="F41" s="1809"/>
      <c r="G41" s="1806"/>
      <c r="H41" s="170"/>
      <c r="I41" s="1730"/>
      <c r="J41" s="629"/>
      <c r="K41" s="603"/>
      <c r="L41" s="603"/>
      <c r="M41" s="603"/>
      <c r="N41" s="603"/>
      <c r="O41" s="603"/>
      <c r="P41" s="603"/>
      <c r="Q41" s="603"/>
      <c r="R41" s="627"/>
      <c r="S41" s="1843"/>
      <c r="T41" s="603"/>
      <c r="U41" s="1737"/>
      <c r="V41" s="603"/>
      <c r="W41" s="603"/>
      <c r="X41" s="603"/>
      <c r="Y41" s="258"/>
      <c r="Z41" s="1865"/>
      <c r="AA41" s="31"/>
      <c r="AB41" s="1802"/>
      <c r="AC41" s="1804"/>
      <c r="AD41" s="603"/>
      <c r="AE41" s="603"/>
      <c r="AF41" s="258"/>
      <c r="AG41" s="1865"/>
      <c r="AH41" s="631"/>
      <c r="AI41" s="168"/>
      <c r="AJ41" s="72"/>
      <c r="AK41" s="1187"/>
      <c r="AL41" s="31"/>
      <c r="AM41" s="31"/>
      <c r="AN41" s="1188"/>
      <c r="AO41" s="73"/>
      <c r="AP41" s="1116"/>
      <c r="AQ41" s="1700"/>
      <c r="AR41" s="398"/>
      <c r="AS41" s="398"/>
      <c r="AT41" s="398"/>
      <c r="AU41" s="398"/>
      <c r="AV41" s="561"/>
      <c r="BD41" s="46"/>
      <c r="BF41" s="199"/>
      <c r="BG41" s="199"/>
      <c r="BH41" s="199"/>
      <c r="BI41" s="199"/>
      <c r="BJ41" s="199"/>
      <c r="BK41" s="199"/>
      <c r="BL41" s="199"/>
      <c r="BM41" s="199"/>
      <c r="BN41" s="199"/>
      <c r="BO41" s="199"/>
      <c r="BP41" s="199"/>
      <c r="BQ41" s="199"/>
      <c r="BR41" s="199"/>
      <c r="BS41" s="199"/>
      <c r="BT41" s="199"/>
    </row>
    <row r="42" spans="1:72" s="14" customFormat="1">
      <c r="A42" s="927"/>
      <c r="B42" s="143"/>
      <c r="C42" s="1835"/>
      <c r="D42" s="1838"/>
      <c r="E42" s="1837"/>
      <c r="F42" s="1809"/>
      <c r="G42" s="1806"/>
      <c r="H42" s="170"/>
      <c r="I42" s="1730"/>
      <c r="J42" s="629"/>
      <c r="K42" s="603"/>
      <c r="L42" s="603"/>
      <c r="M42" s="603"/>
      <c r="N42" s="603"/>
      <c r="O42" s="603"/>
      <c r="P42" s="603"/>
      <c r="Q42" s="603"/>
      <c r="R42" s="627"/>
      <c r="S42" s="1843"/>
      <c r="T42" s="603"/>
      <c r="U42" s="1737"/>
      <c r="V42" s="603"/>
      <c r="W42" s="603"/>
      <c r="X42" s="603"/>
      <c r="Y42" s="258"/>
      <c r="Z42" s="1865"/>
      <c r="AA42" s="31"/>
      <c r="AB42" s="1802"/>
      <c r="AC42" s="1804"/>
      <c r="AD42" s="603"/>
      <c r="AE42" s="603"/>
      <c r="AF42" s="258"/>
      <c r="AG42" s="1865"/>
      <c r="AH42" s="631"/>
      <c r="AI42" s="168"/>
      <c r="AJ42" s="72"/>
      <c r="AK42" s="1187"/>
      <c r="AL42" s="31"/>
      <c r="AM42" s="31"/>
      <c r="AN42" s="1188"/>
      <c r="AO42" s="73"/>
      <c r="AP42" s="1116"/>
      <c r="AQ42" s="1700"/>
      <c r="AR42" s="398"/>
      <c r="AS42" s="398"/>
      <c r="AT42" s="398"/>
      <c r="AU42" s="398"/>
      <c r="AV42" s="561"/>
      <c r="BD42" s="46"/>
      <c r="BF42" s="199"/>
      <c r="BG42" s="199"/>
      <c r="BH42" s="199"/>
      <c r="BI42" s="199"/>
      <c r="BJ42" s="199"/>
      <c r="BK42" s="199"/>
      <c r="BL42" s="199"/>
      <c r="BM42" s="199"/>
      <c r="BN42" s="199"/>
      <c r="BO42" s="199"/>
      <c r="BP42" s="199"/>
      <c r="BQ42" s="199"/>
      <c r="BR42" s="199"/>
      <c r="BS42" s="199"/>
      <c r="BT42" s="199"/>
    </row>
    <row r="43" spans="1:72" s="14" customFormat="1">
      <c r="A43" s="927"/>
      <c r="B43" s="143"/>
      <c r="C43" s="1835"/>
      <c r="D43" s="1838"/>
      <c r="E43" s="1837"/>
      <c r="F43" s="1809"/>
      <c r="G43" s="1806"/>
      <c r="H43" s="170"/>
      <c r="I43" s="1730"/>
      <c r="J43" s="629"/>
      <c r="K43" s="603"/>
      <c r="L43" s="603"/>
      <c r="M43" s="603"/>
      <c r="N43" s="603"/>
      <c r="O43" s="603"/>
      <c r="P43" s="603"/>
      <c r="Q43" s="603"/>
      <c r="R43" s="627"/>
      <c r="S43" s="1843"/>
      <c r="T43" s="603"/>
      <c r="U43" s="1737"/>
      <c r="V43" s="603"/>
      <c r="W43" s="603"/>
      <c r="X43" s="603"/>
      <c r="Y43" s="258"/>
      <c r="Z43" s="1865"/>
      <c r="AA43" s="31"/>
      <c r="AB43" s="1802"/>
      <c r="AC43" s="1804"/>
      <c r="AD43" s="603"/>
      <c r="AE43" s="603"/>
      <c r="AF43" s="258"/>
      <c r="AG43" s="1865"/>
      <c r="AH43" s="631"/>
      <c r="AI43" s="168"/>
      <c r="AJ43" s="72"/>
      <c r="AK43" s="1187"/>
      <c r="AL43" s="31"/>
      <c r="AM43" s="31"/>
      <c r="AN43" s="1188"/>
      <c r="AO43" s="73"/>
      <c r="AP43" s="1116"/>
      <c r="AQ43" s="1700"/>
      <c r="AR43" s="398"/>
      <c r="AS43" s="398"/>
      <c r="AT43" s="398"/>
      <c r="AU43" s="398"/>
      <c r="AV43" s="561"/>
      <c r="BD43" s="46"/>
      <c r="BF43" s="199"/>
      <c r="BG43" s="199"/>
      <c r="BH43" s="199"/>
      <c r="BI43" s="199"/>
      <c r="BJ43" s="199"/>
      <c r="BK43" s="199"/>
      <c r="BL43" s="199"/>
      <c r="BM43" s="199"/>
      <c r="BN43" s="199"/>
      <c r="BO43" s="199"/>
      <c r="BP43" s="199"/>
      <c r="BQ43" s="199"/>
      <c r="BR43" s="199"/>
      <c r="BS43" s="199"/>
      <c r="BT43" s="199"/>
    </row>
    <row r="44" spans="1:72" s="14" customFormat="1" ht="34" customHeight="1">
      <c r="A44" s="927"/>
      <c r="B44" s="143"/>
      <c r="C44" s="1835"/>
      <c r="D44" s="1838"/>
      <c r="E44" s="1837"/>
      <c r="F44" s="1809"/>
      <c r="G44" s="1806"/>
      <c r="H44" s="170"/>
      <c r="I44" s="1730"/>
      <c r="J44" s="629"/>
      <c r="K44" s="603"/>
      <c r="L44" s="603"/>
      <c r="M44" s="603"/>
      <c r="N44" s="603"/>
      <c r="O44" s="603"/>
      <c r="P44" s="603"/>
      <c r="Q44" s="603"/>
      <c r="R44" s="627"/>
      <c r="S44" s="1843"/>
      <c r="T44" s="603"/>
      <c r="U44" s="1737"/>
      <c r="V44" s="603"/>
      <c r="W44" s="603"/>
      <c r="X44" s="603"/>
      <c r="Y44" s="258"/>
      <c r="Z44" s="1865"/>
      <c r="AA44" s="31"/>
      <c r="AB44" s="1802"/>
      <c r="AC44" s="1804"/>
      <c r="AD44" s="603"/>
      <c r="AE44" s="603"/>
      <c r="AF44" s="258"/>
      <c r="AG44" s="1865"/>
      <c r="AH44" s="631"/>
      <c r="AI44" s="168"/>
      <c r="AJ44" s="72"/>
      <c r="AK44" s="1187"/>
      <c r="AL44" s="31"/>
      <c r="AM44" s="31"/>
      <c r="AN44" s="1188"/>
      <c r="AO44" s="73"/>
      <c r="AP44" s="1116"/>
      <c r="AQ44" s="1700"/>
      <c r="AR44" s="398"/>
      <c r="AS44" s="398"/>
      <c r="AT44" s="398"/>
      <c r="AU44" s="398"/>
      <c r="AV44" s="561"/>
      <c r="BD44" s="46"/>
      <c r="BF44" s="199"/>
      <c r="BG44" s="199"/>
      <c r="BH44" s="199"/>
      <c r="BI44" s="199"/>
      <c r="BJ44" s="199"/>
      <c r="BK44" s="199"/>
      <c r="BL44" s="199"/>
      <c r="BM44" s="199"/>
      <c r="BN44" s="199"/>
      <c r="BO44" s="199"/>
      <c r="BP44" s="199"/>
      <c r="BQ44" s="199"/>
      <c r="BR44" s="199"/>
      <c r="BS44" s="199"/>
      <c r="BT44" s="199"/>
    </row>
    <row r="45" spans="1:72" s="14" customFormat="1" ht="80" customHeight="1">
      <c r="A45" s="927"/>
      <c r="B45" s="143"/>
      <c r="D45" s="396"/>
      <c r="E45" s="396"/>
      <c r="F45" s="396"/>
      <c r="G45" s="396"/>
      <c r="H45" s="1193"/>
      <c r="I45" s="1730"/>
      <c r="J45" s="1195"/>
      <c r="K45" s="1195"/>
      <c r="L45" s="1195"/>
      <c r="M45" s="1195"/>
      <c r="N45" s="1195"/>
      <c r="O45" s="1195"/>
      <c r="P45" s="1195"/>
      <c r="Q45" s="1195"/>
      <c r="R45" s="145"/>
      <c r="S45" s="1688"/>
      <c r="T45" s="1195"/>
      <c r="U45" s="1195"/>
      <c r="V45" s="1195"/>
      <c r="W45" s="1195"/>
      <c r="X45" s="1195"/>
      <c r="Y45" s="31"/>
      <c r="Z45" s="1688"/>
      <c r="AA45" s="31"/>
      <c r="AB45" s="177"/>
      <c r="AC45" s="1195"/>
      <c r="AD45" s="1195"/>
      <c r="AE45" s="1195"/>
      <c r="AF45" s="31"/>
      <c r="AG45" s="1688"/>
      <c r="AH45" s="168"/>
      <c r="AI45" s="168"/>
      <c r="AJ45" s="72"/>
      <c r="AK45" s="147"/>
      <c r="AL45" s="31"/>
      <c r="AM45" s="31"/>
      <c r="AN45" s="994"/>
      <c r="AO45" s="994"/>
      <c r="AP45" s="1116"/>
      <c r="AQ45" s="1194"/>
      <c r="AR45" s="398"/>
      <c r="AS45" s="398"/>
      <c r="AT45" s="398"/>
      <c r="AU45" s="398"/>
      <c r="AV45" s="561"/>
      <c r="BD45" s="46"/>
      <c r="BF45" s="199"/>
      <c r="BG45" s="199"/>
      <c r="BH45" s="199"/>
      <c r="BI45" s="199"/>
      <c r="BJ45" s="199"/>
      <c r="BK45" s="199"/>
      <c r="BL45" s="199"/>
      <c r="BM45" s="199"/>
      <c r="BN45" s="199"/>
      <c r="BO45" s="199"/>
      <c r="BP45" s="199"/>
      <c r="BQ45" s="199"/>
      <c r="BR45" s="199"/>
      <c r="BS45" s="199"/>
      <c r="BT45" s="199"/>
    </row>
    <row r="46" spans="1:72" s="14" customFormat="1" ht="15" customHeight="1">
      <c r="A46" s="927"/>
      <c r="B46" s="143"/>
      <c r="C46" s="1814"/>
      <c r="D46" s="1815"/>
      <c r="E46" s="1815"/>
      <c r="F46" s="1815"/>
      <c r="G46" s="1815"/>
      <c r="H46" s="1815"/>
      <c r="I46" s="1815"/>
      <c r="J46" s="1815"/>
      <c r="K46" s="1815"/>
      <c r="L46" s="1815"/>
      <c r="M46" s="1815"/>
      <c r="N46" s="1815"/>
      <c r="O46" s="1815"/>
      <c r="P46" s="1815"/>
      <c r="Q46" s="1815"/>
      <c r="R46" s="1815"/>
      <c r="S46" s="1815"/>
      <c r="T46" s="1816"/>
      <c r="U46" s="1816"/>
      <c r="V46" s="1816"/>
      <c r="W46" s="1816"/>
      <c r="X46" s="1816"/>
      <c r="Y46" s="1816"/>
      <c r="Z46" s="1816"/>
      <c r="AA46" s="1816"/>
      <c r="AB46" s="1816"/>
      <c r="AC46" s="1816"/>
      <c r="AD46" s="1816"/>
      <c r="AE46" s="1816"/>
      <c r="AF46" s="1816"/>
      <c r="AG46" s="1816"/>
      <c r="AH46" s="1816"/>
      <c r="AI46" s="1816"/>
      <c r="AJ46" s="1816"/>
      <c r="AK46" s="147"/>
      <c r="AL46" s="31"/>
      <c r="AM46" s="31"/>
      <c r="AN46" s="994"/>
      <c r="AO46" s="994"/>
      <c r="AP46" s="1116"/>
      <c r="AQ46" s="1194"/>
      <c r="AR46" s="398"/>
      <c r="AS46" s="398"/>
      <c r="AT46" s="398"/>
      <c r="AU46" s="398"/>
      <c r="AV46" s="561"/>
      <c r="BD46" s="46"/>
      <c r="BF46" s="199"/>
      <c r="BG46" s="199"/>
      <c r="BH46" s="199"/>
      <c r="BI46" s="199"/>
      <c r="BJ46" s="199"/>
      <c r="BK46" s="199"/>
      <c r="BL46" s="199"/>
      <c r="BM46" s="199"/>
      <c r="BN46" s="199"/>
      <c r="BO46" s="199"/>
      <c r="BP46" s="199"/>
      <c r="BQ46" s="199"/>
      <c r="BR46" s="199"/>
      <c r="BS46" s="199"/>
      <c r="BT46" s="199"/>
    </row>
    <row r="47" spans="1:72" s="1219" customFormat="1" ht="38" customHeight="1">
      <c r="A47" s="1274"/>
      <c r="B47" s="1566" t="s">
        <v>99</v>
      </c>
      <c r="C47" s="1559" t="s">
        <v>35</v>
      </c>
      <c r="D47" s="1690" t="s">
        <v>168</v>
      </c>
      <c r="E47" s="1691"/>
      <c r="F47" s="1691"/>
      <c r="G47" s="1691"/>
      <c r="H47" s="1691"/>
      <c r="I47" s="1830"/>
      <c r="J47" s="1788" t="s">
        <v>645</v>
      </c>
      <c r="K47" s="1789"/>
      <c r="L47" s="1789"/>
      <c r="M47" s="1789"/>
      <c r="N47" s="1789"/>
      <c r="O47" s="1789"/>
      <c r="P47" s="1789"/>
      <c r="Q47" s="1831"/>
      <c r="R47" s="1684" t="s">
        <v>882</v>
      </c>
      <c r="S47" s="1779"/>
      <c r="T47" s="1786" t="s">
        <v>664</v>
      </c>
      <c r="U47" s="1787"/>
      <c r="V47" s="1787"/>
      <c r="W47" s="1787"/>
      <c r="X47" s="1787"/>
      <c r="Y47" s="1811" t="s">
        <v>648</v>
      </c>
      <c r="Z47" s="1812"/>
      <c r="AA47" s="1276"/>
      <c r="AB47" s="1276"/>
      <c r="AC47" s="1784" t="s">
        <v>162</v>
      </c>
      <c r="AD47" s="1785"/>
      <c r="AE47" s="1839"/>
      <c r="AF47" s="1782" t="s">
        <v>883</v>
      </c>
      <c r="AG47" s="1783"/>
      <c r="AH47" s="1276"/>
      <c r="AI47" s="1277"/>
      <c r="AJ47" s="1780" t="s">
        <v>167</v>
      </c>
      <c r="AK47" s="1780"/>
      <c r="AL47" s="1780"/>
      <c r="AM47" s="1780"/>
      <c r="AN47" s="1781"/>
      <c r="AO47" s="1298"/>
      <c r="AP47" s="1279"/>
      <c r="AQ47" s="1299"/>
      <c r="AR47" s="1300"/>
      <c r="AS47" s="1300"/>
      <c r="AT47" s="1300"/>
      <c r="AU47" s="1300"/>
      <c r="AV47" s="1301"/>
      <c r="BD47" s="1282"/>
      <c r="BF47" s="1274"/>
      <c r="BG47" s="1274"/>
      <c r="BH47" s="1274"/>
      <c r="BI47" s="1274"/>
      <c r="BJ47" s="1274"/>
      <c r="BK47" s="1274"/>
      <c r="BL47" s="1274"/>
      <c r="BM47" s="1274"/>
      <c r="BN47" s="1274"/>
      <c r="BO47" s="1274"/>
      <c r="BP47" s="1274"/>
      <c r="BQ47" s="1274"/>
      <c r="BR47" s="1274"/>
      <c r="BS47" s="1274"/>
      <c r="BT47" s="1274"/>
    </row>
    <row r="48" spans="1:72" s="14" customFormat="1" ht="16" customHeight="1">
      <c r="A48" s="927"/>
      <c r="B48" s="932"/>
      <c r="D48" s="109">
        <v>1</v>
      </c>
      <c r="E48" s="50">
        <f t="shared" ref="E48" si="80">D48+1</f>
        <v>2</v>
      </c>
      <c r="F48" s="50">
        <f t="shared" ref="F48" si="81">E48+1</f>
        <v>3</v>
      </c>
      <c r="G48" s="50">
        <f t="shared" ref="G48" si="82">F48+1</f>
        <v>4</v>
      </c>
      <c r="H48" s="50">
        <f t="shared" ref="H48" si="83">G48+1</f>
        <v>5</v>
      </c>
      <c r="I48" s="50">
        <f t="shared" ref="I48" si="84">H48+1</f>
        <v>6</v>
      </c>
      <c r="J48" s="50">
        <f t="shared" ref="J48" si="85">I48+1</f>
        <v>7</v>
      </c>
      <c r="K48" s="50">
        <f t="shared" ref="K48" si="86">J48+1</f>
        <v>8</v>
      </c>
      <c r="L48" s="50">
        <f t="shared" ref="L48" si="87">K48+1</f>
        <v>9</v>
      </c>
      <c r="M48" s="50">
        <f t="shared" ref="M48" si="88">L48+1</f>
        <v>10</v>
      </c>
      <c r="N48" s="50">
        <f t="shared" ref="N48" si="89">M48+1</f>
        <v>11</v>
      </c>
      <c r="O48" s="50">
        <f t="shared" ref="O48" si="90">N48+1</f>
        <v>12</v>
      </c>
      <c r="P48" s="50">
        <f t="shared" ref="P48" si="91">O48+1</f>
        <v>13</v>
      </c>
      <c r="Q48" s="50">
        <f t="shared" ref="Q48" si="92">P48+1</f>
        <v>14</v>
      </c>
      <c r="R48" s="1005">
        <f t="shared" ref="R48" si="93">Q48+1</f>
        <v>15</v>
      </c>
      <c r="S48" s="1007">
        <f t="shared" ref="S48" si="94">R48+1</f>
        <v>16</v>
      </c>
      <c r="T48" s="50">
        <f t="shared" ref="T48" si="95">S48+1</f>
        <v>17</v>
      </c>
      <c r="U48" s="50">
        <f t="shared" ref="U48" si="96">T48+1</f>
        <v>18</v>
      </c>
      <c r="V48" s="50">
        <f t="shared" ref="V48" si="97">U48+1</f>
        <v>19</v>
      </c>
      <c r="W48" s="50">
        <f t="shared" ref="W48" si="98">V48+1</f>
        <v>20</v>
      </c>
      <c r="X48" s="50">
        <f t="shared" ref="X48" si="99">W48+1</f>
        <v>21</v>
      </c>
      <c r="Y48" s="1005">
        <f t="shared" ref="Y48" si="100">X48+1</f>
        <v>22</v>
      </c>
      <c r="Z48" s="1007">
        <f t="shared" ref="Z48" si="101">Y48+1</f>
        <v>23</v>
      </c>
      <c r="AA48" s="50">
        <f t="shared" ref="AA48" si="102">Z48+1</f>
        <v>24</v>
      </c>
      <c r="AB48" s="110">
        <f t="shared" ref="AB48" si="103">AA48+1</f>
        <v>25</v>
      </c>
      <c r="AC48" s="50">
        <f t="shared" ref="AC48" si="104">AB48+1</f>
        <v>26</v>
      </c>
      <c r="AD48" s="50">
        <f t="shared" ref="AD48" si="105">AC48+1</f>
        <v>27</v>
      </c>
      <c r="AE48" s="50">
        <f t="shared" ref="AE48" si="106">AD48+1</f>
        <v>28</v>
      </c>
      <c r="AF48" s="1005">
        <f t="shared" ref="AF48" si="107">AE48+1</f>
        <v>29</v>
      </c>
      <c r="AG48" s="1007">
        <f t="shared" ref="AG48" si="108">AF48+1</f>
        <v>30</v>
      </c>
      <c r="AH48" s="50">
        <f t="shared" ref="AH48" si="109">AG48+1</f>
        <v>31</v>
      </c>
      <c r="AI48" s="109">
        <f>AH48+1</f>
        <v>32</v>
      </c>
      <c r="AJ48" s="50">
        <f>AI48+1</f>
        <v>33</v>
      </c>
      <c r="AK48" s="50">
        <f t="shared" ref="AK48" si="110">AJ48+1</f>
        <v>34</v>
      </c>
      <c r="AL48" s="50">
        <f t="shared" ref="AL48:AM48" si="111">AK48+1</f>
        <v>35</v>
      </c>
      <c r="AM48" s="50">
        <f t="shared" si="111"/>
        <v>36</v>
      </c>
      <c r="AN48" s="110">
        <f t="shared" ref="AN48" si="112">AM48+1</f>
        <v>37</v>
      </c>
      <c r="AO48" s="50">
        <f t="shared" ref="AO48" si="113">AN48+1</f>
        <v>38</v>
      </c>
      <c r="AP48" s="1116"/>
      <c r="AQ48" s="993"/>
      <c r="AR48" s="398"/>
      <c r="AS48" s="398"/>
      <c r="AT48" s="398"/>
      <c r="AU48" s="398"/>
      <c r="AV48" s="561"/>
      <c r="BD48" s="46"/>
      <c r="BF48" s="199"/>
      <c r="BG48" s="199"/>
      <c r="BH48" s="199"/>
      <c r="BI48" s="199"/>
      <c r="BJ48" s="199"/>
      <c r="BK48" s="199"/>
      <c r="BL48" s="199"/>
      <c r="BM48" s="199"/>
      <c r="BN48" s="199"/>
      <c r="BO48" s="199"/>
      <c r="BP48" s="199"/>
      <c r="BQ48" s="199"/>
      <c r="BR48" s="199"/>
      <c r="BS48" s="199"/>
      <c r="BT48" s="199"/>
    </row>
    <row r="49" spans="1:72" s="14" customFormat="1" ht="126" customHeight="1">
      <c r="A49" s="927"/>
      <c r="B49" s="143"/>
      <c r="C49" s="1233" t="s">
        <v>891</v>
      </c>
      <c r="D49" s="1234" t="s">
        <v>244</v>
      </c>
      <c r="E49" s="1235" t="s">
        <v>245</v>
      </c>
      <c r="F49" s="1235" t="s">
        <v>280</v>
      </c>
      <c r="G49" s="1235" t="s">
        <v>281</v>
      </c>
      <c r="H49" s="1010" t="s">
        <v>247</v>
      </c>
      <c r="I49" s="1020" t="s">
        <v>604</v>
      </c>
      <c r="J49" s="1239" t="s">
        <v>249</v>
      </c>
      <c r="K49" s="1240" t="s">
        <v>606</v>
      </c>
      <c r="L49" s="1240" t="s">
        <v>607</v>
      </c>
      <c r="M49" s="1240" t="s">
        <v>608</v>
      </c>
      <c r="N49" s="1240" t="s">
        <v>282</v>
      </c>
      <c r="O49" s="1240" t="s">
        <v>610</v>
      </c>
      <c r="P49" s="1240" t="s">
        <v>610</v>
      </c>
      <c r="Q49" s="1207" t="s">
        <v>415</v>
      </c>
      <c r="R49" s="602" t="s">
        <v>257</v>
      </c>
      <c r="S49" s="400" t="s">
        <v>363</v>
      </c>
      <c r="T49" s="1013" t="s">
        <v>710</v>
      </c>
      <c r="U49" s="1010" t="s">
        <v>611</v>
      </c>
      <c r="V49" s="1010" t="s">
        <v>612</v>
      </c>
      <c r="W49" s="1010" t="s">
        <v>261</v>
      </c>
      <c r="X49" s="872" t="s">
        <v>613</v>
      </c>
      <c r="Y49" s="523" t="s">
        <v>995</v>
      </c>
      <c r="Z49" s="599" t="s">
        <v>996</v>
      </c>
      <c r="AA49" s="1010" t="s">
        <v>265</v>
      </c>
      <c r="AB49" s="1010" t="s">
        <v>266</v>
      </c>
      <c r="AC49" s="1239" t="s">
        <v>627</v>
      </c>
      <c r="AD49" s="1010" t="s">
        <v>268</v>
      </c>
      <c r="AE49" s="1010" t="s">
        <v>269</v>
      </c>
      <c r="AF49" s="186" t="s">
        <v>344</v>
      </c>
      <c r="AG49" s="187" t="s">
        <v>270</v>
      </c>
      <c r="AH49" s="1010" t="s">
        <v>271</v>
      </c>
      <c r="AI49" s="1239" t="s">
        <v>812</v>
      </c>
      <c r="AJ49" s="1264" t="s">
        <v>809</v>
      </c>
      <c r="AK49" s="1547" t="s">
        <v>14</v>
      </c>
      <c r="AL49" s="1235" t="s">
        <v>1</v>
      </c>
      <c r="AM49" s="1010" t="s">
        <v>810</v>
      </c>
      <c r="AN49" s="1002" t="s">
        <v>746</v>
      </c>
      <c r="AO49" s="239" t="s">
        <v>272</v>
      </c>
      <c r="AP49" s="1116"/>
      <c r="AQ49" s="1200" t="s">
        <v>890</v>
      </c>
      <c r="AR49" s="805" t="s">
        <v>357</v>
      </c>
      <c r="AS49" s="988" t="s">
        <v>273</v>
      </c>
      <c r="AT49" s="806" t="s">
        <v>567</v>
      </c>
      <c r="AU49" s="1008" t="s">
        <v>811</v>
      </c>
      <c r="AV49" s="1008" t="s">
        <v>745</v>
      </c>
      <c r="BD49" s="46"/>
      <c r="BE49" s="1149" t="s">
        <v>822</v>
      </c>
      <c r="BF49" s="199"/>
      <c r="BG49" s="199"/>
      <c r="BH49" s="199"/>
      <c r="BI49" s="199"/>
      <c r="BJ49" s="199"/>
      <c r="BK49" s="199"/>
      <c r="BL49" s="199"/>
      <c r="BM49" s="199"/>
      <c r="BN49" s="199"/>
      <c r="BO49" s="199"/>
      <c r="BP49" s="199"/>
      <c r="BQ49" s="199"/>
      <c r="BR49" s="199"/>
      <c r="BS49" s="199"/>
      <c r="BT49" s="199"/>
    </row>
    <row r="50" spans="1:72" s="863" customFormat="1" ht="15" customHeight="1">
      <c r="A50" s="936">
        <f>A33+1</f>
        <v>16</v>
      </c>
      <c r="B50" s="879">
        <f>B31+1</f>
        <v>12</v>
      </c>
      <c r="C50" s="860" t="s">
        <v>887</v>
      </c>
      <c r="D50" s="630">
        <v>288</v>
      </c>
      <c r="E50" s="642">
        <f>2*D50</f>
        <v>576</v>
      </c>
      <c r="F50" s="642">
        <f>2*267</f>
        <v>534</v>
      </c>
      <c r="G50" s="632">
        <f>F50*1.15</f>
        <v>614.09999999999991</v>
      </c>
      <c r="H50" s="620">
        <f>E50*0.23</f>
        <v>132.48000000000002</v>
      </c>
      <c r="I50" s="628">
        <f>0.5*H50*1.1</f>
        <v>72.864000000000019</v>
      </c>
      <c r="J50" s="1244" t="s">
        <v>136</v>
      </c>
      <c r="K50" s="617">
        <v>124</v>
      </c>
      <c r="L50" s="617">
        <v>15</v>
      </c>
      <c r="M50" s="617">
        <f>200-155</f>
        <v>45</v>
      </c>
      <c r="N50" s="1241" t="s">
        <v>136</v>
      </c>
      <c r="O50" s="1241" t="s">
        <v>136</v>
      </c>
      <c r="P50" s="1241" t="s">
        <v>136</v>
      </c>
      <c r="Q50" s="866">
        <f>SUM(J50:P50)</f>
        <v>184</v>
      </c>
      <c r="R50" s="1672">
        <f>2*Q50</f>
        <v>368</v>
      </c>
      <c r="S50" s="1673">
        <f>R50+(2*71)</f>
        <v>510</v>
      </c>
      <c r="T50" s="865">
        <v>0</v>
      </c>
      <c r="U50" s="865">
        <v>90</v>
      </c>
      <c r="V50" s="865">
        <v>1</v>
      </c>
      <c r="W50" s="865" t="s">
        <v>13</v>
      </c>
      <c r="X50" s="865">
        <f>SUM(T50:W50)</f>
        <v>91</v>
      </c>
      <c r="Y50" s="1018">
        <f>X50*2</f>
        <v>182</v>
      </c>
      <c r="Z50" s="1019">
        <f t="shared" ref="Z50" si="114">Y50+23</f>
        <v>205</v>
      </c>
      <c r="AA50" s="618">
        <f>Z50-H50</f>
        <v>72.519999999999982</v>
      </c>
      <c r="AB50" s="625">
        <f>Z50-I50</f>
        <v>132.13599999999997</v>
      </c>
      <c r="AC50" s="621">
        <v>316</v>
      </c>
      <c r="AD50" s="624">
        <f t="shared" ref="AD50:AD54" si="115">(33.89)+(AC50*0.2095)</f>
        <v>100.092</v>
      </c>
      <c r="AE50" s="624">
        <f>X50-U50+AD50</f>
        <v>101.092</v>
      </c>
      <c r="AF50" s="281">
        <f>2*AE50</f>
        <v>202.184</v>
      </c>
      <c r="AG50" s="369">
        <f>AF50+(23)</f>
        <v>225.184</v>
      </c>
      <c r="AH50" s="655">
        <f>AG50-I50</f>
        <v>152.32</v>
      </c>
      <c r="AI50" s="1303" t="s">
        <v>889</v>
      </c>
      <c r="AJ50" s="617">
        <v>96</v>
      </c>
      <c r="AK50" s="617">
        <f t="shared" ref="AK50:AK54" si="116">(2*AJ50)+(2*71)+(2*45)</f>
        <v>424</v>
      </c>
      <c r="AL50" s="671">
        <f>S50-AK50</f>
        <v>86</v>
      </c>
      <c r="AM50" s="623">
        <f>15+31</f>
        <v>46</v>
      </c>
      <c r="AN50" s="1137">
        <f>154+23+AM50</f>
        <v>223</v>
      </c>
      <c r="AO50" s="274">
        <f>Z50-AN50</f>
        <v>-18</v>
      </c>
      <c r="AP50" s="1122"/>
      <c r="AQ50" s="860" t="s">
        <v>616</v>
      </c>
      <c r="AR50" s="276">
        <f>H50</f>
        <v>132.48000000000002</v>
      </c>
      <c r="AS50" s="183">
        <f>Z50</f>
        <v>205</v>
      </c>
      <c r="AT50" s="183">
        <f>AN50</f>
        <v>223</v>
      </c>
      <c r="AU50" s="733">
        <f t="shared" ref="AU50:AU54" si="117">S50-G50</f>
        <v>-104.09999999999991</v>
      </c>
      <c r="AV50" s="460">
        <f>S50-AK50</f>
        <v>86</v>
      </c>
      <c r="BD50" s="864"/>
      <c r="BE50" s="1622">
        <f>B50</f>
        <v>12</v>
      </c>
      <c r="BF50" s="825"/>
      <c r="BG50" s="1630">
        <v>1</v>
      </c>
      <c r="BH50" s="825"/>
      <c r="BI50" s="825"/>
      <c r="BJ50" s="825"/>
      <c r="BK50" s="825"/>
      <c r="BL50" s="825"/>
      <c r="BM50" s="825"/>
      <c r="BN50" s="825"/>
      <c r="BO50" s="825"/>
      <c r="BP50" s="825"/>
      <c r="BQ50" s="825"/>
      <c r="BR50" s="825"/>
      <c r="BS50" s="825"/>
      <c r="BT50" s="825"/>
    </row>
    <row r="51" spans="1:72" s="863" customFormat="1" ht="15" customHeight="1">
      <c r="A51" s="936">
        <f>A50+1</f>
        <v>17</v>
      </c>
      <c r="B51" s="886">
        <f>B33+1</f>
        <v>5</v>
      </c>
      <c r="C51" s="1014" t="s">
        <v>1244</v>
      </c>
      <c r="D51" s="630">
        <v>151</v>
      </c>
      <c r="E51" s="642">
        <f>2*D51</f>
        <v>302</v>
      </c>
      <c r="F51" s="642">
        <f>2*145</f>
        <v>290</v>
      </c>
      <c r="G51" s="632">
        <f>F51*1.15</f>
        <v>333.5</v>
      </c>
      <c r="H51" s="620">
        <f>E51*0.23</f>
        <v>69.460000000000008</v>
      </c>
      <c r="I51" s="628">
        <f>0.5*H51*1.1</f>
        <v>38.20300000000001</v>
      </c>
      <c r="J51" s="663">
        <f>12+25</f>
        <v>37</v>
      </c>
      <c r="K51" s="617">
        <v>98</v>
      </c>
      <c r="L51" s="617">
        <v>15</v>
      </c>
      <c r="M51" s="617">
        <v>0</v>
      </c>
      <c r="N51" s="1242" t="s">
        <v>136</v>
      </c>
      <c r="O51" s="1242" t="s">
        <v>136</v>
      </c>
      <c r="P51" s="1242" t="s">
        <v>136</v>
      </c>
      <c r="Q51" s="866">
        <f t="shared" ref="Q51:Q54" si="118">SUM(J51:P51)</f>
        <v>150</v>
      </c>
      <c r="R51" s="1672">
        <f t="shared" ref="R51:R54" si="119">2*Q51</f>
        <v>300</v>
      </c>
      <c r="S51" s="1673">
        <f t="shared" ref="S51:S54" si="120">R51+(2*71)</f>
        <v>442</v>
      </c>
      <c r="T51" s="865">
        <v>3.45</v>
      </c>
      <c r="U51" s="865">
        <v>74</v>
      </c>
      <c r="V51" s="865">
        <v>1</v>
      </c>
      <c r="W51" s="865" t="s">
        <v>13</v>
      </c>
      <c r="X51" s="865">
        <f t="shared" ref="X51:X54" si="121">SUM(T51:W51)</f>
        <v>78.45</v>
      </c>
      <c r="Y51" s="1018">
        <f t="shared" ref="Y51:Y54" si="122">X51*2</f>
        <v>156.9</v>
      </c>
      <c r="Z51" s="1019">
        <f t="shared" ref="Z51:Z54" si="123">Y51+23</f>
        <v>179.9</v>
      </c>
      <c r="AA51" s="618">
        <f>Z51-H51</f>
        <v>110.44</v>
      </c>
      <c r="AB51" s="625">
        <f>Z51-I51</f>
        <v>141.697</v>
      </c>
      <c r="AC51" s="621">
        <v>199</v>
      </c>
      <c r="AD51" s="624">
        <f t="shared" si="115"/>
        <v>75.580500000000001</v>
      </c>
      <c r="AE51" s="624">
        <f t="shared" ref="AE51:AE54" si="124">X51-U51+AD51</f>
        <v>80.030500000000004</v>
      </c>
      <c r="AF51" s="281">
        <f t="shared" ref="AF51:AF54" si="125">2*AE51</f>
        <v>160.06100000000001</v>
      </c>
      <c r="AG51" s="369">
        <f t="shared" ref="AG51:AG54" si="126">AF51+(23)</f>
        <v>183.06100000000001</v>
      </c>
      <c r="AH51" s="655">
        <f t="shared" ref="AH51:AH54" si="127">AG51-I51</f>
        <v>144.858</v>
      </c>
      <c r="AI51" s="1303" t="s">
        <v>896</v>
      </c>
      <c r="AJ51" s="617">
        <v>60</v>
      </c>
      <c r="AK51" s="617">
        <f t="shared" si="116"/>
        <v>352</v>
      </c>
      <c r="AL51" s="671">
        <f t="shared" ref="AL51:AL54" si="128">S51-AK51</f>
        <v>90</v>
      </c>
      <c r="AM51" s="623">
        <f>15+15</f>
        <v>30</v>
      </c>
      <c r="AN51" s="867">
        <f>523+23+AM51</f>
        <v>576</v>
      </c>
      <c r="AO51" s="274">
        <f>Z51-AN51</f>
        <v>-396.1</v>
      </c>
      <c r="AP51" s="1122"/>
      <c r="AQ51" s="1014" t="s">
        <v>1245</v>
      </c>
      <c r="AR51" s="276">
        <f>H51</f>
        <v>69.460000000000008</v>
      </c>
      <c r="AS51" s="183">
        <f>Z51</f>
        <v>179.9</v>
      </c>
      <c r="AT51" s="183">
        <f t="shared" ref="AT51:AT54" si="129">AN51</f>
        <v>576</v>
      </c>
      <c r="AU51" s="733">
        <f t="shared" si="117"/>
        <v>108.5</v>
      </c>
      <c r="AV51" s="460">
        <f>S51-AK51</f>
        <v>90</v>
      </c>
      <c r="BD51" s="864"/>
      <c r="BE51" s="1623">
        <f t="shared" ref="BE51:BE54" si="130">B51</f>
        <v>5</v>
      </c>
      <c r="BF51" s="825"/>
      <c r="BG51" s="1630" t="s">
        <v>105</v>
      </c>
      <c r="BH51" s="825"/>
      <c r="BI51" s="825"/>
      <c r="BJ51" s="825"/>
      <c r="BK51" s="1671">
        <v>1</v>
      </c>
      <c r="BL51" s="825"/>
      <c r="BM51" s="825"/>
      <c r="BN51" s="825"/>
      <c r="BO51" s="825"/>
      <c r="BP51" s="825"/>
      <c r="BQ51" s="825"/>
      <c r="BR51" s="825"/>
      <c r="BS51" s="825"/>
      <c r="BT51" s="825"/>
    </row>
    <row r="52" spans="1:72" s="863" customFormat="1" ht="15" customHeight="1">
      <c r="A52" s="936">
        <f t="shared" ref="A52:A54" si="131">A51+1</f>
        <v>18</v>
      </c>
      <c r="B52" s="879">
        <f>B50+1</f>
        <v>13</v>
      </c>
      <c r="C52" s="860" t="s">
        <v>614</v>
      </c>
      <c r="D52" s="630">
        <v>341</v>
      </c>
      <c r="E52" s="642">
        <f>2*D52</f>
        <v>682</v>
      </c>
      <c r="F52" s="642">
        <f>2*322</f>
        <v>644</v>
      </c>
      <c r="G52" s="632">
        <f>F52*1.15</f>
        <v>740.59999999999991</v>
      </c>
      <c r="H52" s="620">
        <f>E52*0.23</f>
        <v>156.86000000000001</v>
      </c>
      <c r="I52" s="628">
        <f>0.5*H52*1.1</f>
        <v>86.27300000000001</v>
      </c>
      <c r="J52" s="1273" t="s">
        <v>136</v>
      </c>
      <c r="K52" s="617">
        <v>200</v>
      </c>
      <c r="L52" s="617">
        <v>15</v>
      </c>
      <c r="M52" s="617">
        <f>200-120</f>
        <v>80</v>
      </c>
      <c r="N52" s="1242" t="s">
        <v>136</v>
      </c>
      <c r="O52" s="1242" t="s">
        <v>136</v>
      </c>
      <c r="P52" s="1242" t="s">
        <v>136</v>
      </c>
      <c r="Q52" s="866">
        <f>SUM(J52:P52)</f>
        <v>295</v>
      </c>
      <c r="R52" s="1672">
        <f>2*Q52</f>
        <v>590</v>
      </c>
      <c r="S52" s="1673">
        <f>R52+(2*71)</f>
        <v>732</v>
      </c>
      <c r="T52" s="865">
        <v>0</v>
      </c>
      <c r="U52" s="865">
        <v>93</v>
      </c>
      <c r="V52" s="865">
        <v>1</v>
      </c>
      <c r="W52" s="865" t="s">
        <v>13</v>
      </c>
      <c r="X52" s="865">
        <f>SUM(T52:W52)</f>
        <v>94</v>
      </c>
      <c r="Y52" s="1018">
        <f>X52*2</f>
        <v>188</v>
      </c>
      <c r="Z52" s="1019">
        <f>Y52+23</f>
        <v>211</v>
      </c>
      <c r="AA52" s="618">
        <f>Z52-H52</f>
        <v>54.139999999999986</v>
      </c>
      <c r="AB52" s="625">
        <f>Z52-I52</f>
        <v>124.72699999999999</v>
      </c>
      <c r="AC52" s="621">
        <v>349</v>
      </c>
      <c r="AD52" s="624">
        <f>(33.89)+(AC52*0.2095)</f>
        <v>107.0055</v>
      </c>
      <c r="AE52" s="624">
        <f>X52-U52+AD52</f>
        <v>108.0055</v>
      </c>
      <c r="AF52" s="281">
        <f>2*AE52</f>
        <v>216.011</v>
      </c>
      <c r="AG52" s="369">
        <f>AF52+(23)</f>
        <v>239.011</v>
      </c>
      <c r="AH52" s="655">
        <f>AG52-I52</f>
        <v>152.738</v>
      </c>
      <c r="AI52" s="1303" t="s">
        <v>889</v>
      </c>
      <c r="AJ52" s="617">
        <v>96</v>
      </c>
      <c r="AK52" s="617">
        <f>(2*AJ52)+(2*71)+(2*45)</f>
        <v>424</v>
      </c>
      <c r="AL52" s="671">
        <f>S52-AK52</f>
        <v>308</v>
      </c>
      <c r="AM52" s="623">
        <f>15+30</f>
        <v>45</v>
      </c>
      <c r="AN52" s="867">
        <f>154+23+AM52</f>
        <v>222</v>
      </c>
      <c r="AO52" s="274">
        <f>Z52-AN52</f>
        <v>-11</v>
      </c>
      <c r="AP52" s="1122"/>
      <c r="AQ52" s="860" t="s">
        <v>1246</v>
      </c>
      <c r="AR52" s="276">
        <f>H52</f>
        <v>156.86000000000001</v>
      </c>
      <c r="AS52" s="183">
        <f>Z52</f>
        <v>211</v>
      </c>
      <c r="AT52" s="183">
        <f>AN52</f>
        <v>222</v>
      </c>
      <c r="AU52" s="733">
        <f t="shared" si="117"/>
        <v>-8.5999999999999091</v>
      </c>
      <c r="AV52" s="460">
        <f>S52-AK52</f>
        <v>308</v>
      </c>
      <c r="BD52" s="864"/>
      <c r="BE52" s="1622">
        <f t="shared" si="130"/>
        <v>13</v>
      </c>
      <c r="BF52" s="825"/>
      <c r="BG52" s="1671">
        <v>1</v>
      </c>
      <c r="BH52" s="1630" t="s">
        <v>105</v>
      </c>
      <c r="BI52" s="1630"/>
      <c r="BJ52" s="825"/>
      <c r="BK52" s="825"/>
      <c r="BL52" s="825"/>
      <c r="BM52" s="825"/>
      <c r="BN52" s="825"/>
      <c r="BO52" s="825"/>
      <c r="BP52" s="825"/>
      <c r="BQ52" s="825"/>
      <c r="BR52" s="825"/>
      <c r="BS52" s="825"/>
      <c r="BT52" s="825"/>
    </row>
    <row r="53" spans="1:72" s="863" customFormat="1" ht="15" customHeight="1">
      <c r="A53" s="936">
        <f t="shared" si="131"/>
        <v>19</v>
      </c>
      <c r="B53" s="886">
        <f>B51+1</f>
        <v>6</v>
      </c>
      <c r="C53" s="1014" t="s">
        <v>886</v>
      </c>
      <c r="D53" s="630">
        <v>339</v>
      </c>
      <c r="E53" s="642">
        <f>2*D53</f>
        <v>678</v>
      </c>
      <c r="F53" s="642">
        <f>2*303</f>
        <v>606</v>
      </c>
      <c r="G53" s="632">
        <f>F53*1.15</f>
        <v>696.9</v>
      </c>
      <c r="H53" s="620">
        <f>E53*0.23</f>
        <v>155.94</v>
      </c>
      <c r="I53" s="628">
        <f>0.5*H53*1.1</f>
        <v>85.76700000000001</v>
      </c>
      <c r="J53" s="1273" t="s">
        <v>136</v>
      </c>
      <c r="K53" s="617">
        <v>142</v>
      </c>
      <c r="L53" s="617">
        <v>15</v>
      </c>
      <c r="M53" s="617">
        <f>200-60</f>
        <v>140</v>
      </c>
      <c r="N53" s="1242" t="s">
        <v>136</v>
      </c>
      <c r="O53" s="1242" t="s">
        <v>136</v>
      </c>
      <c r="P53" s="1242" t="s">
        <v>136</v>
      </c>
      <c r="Q53" s="866">
        <f>SUM(J53:P53)</f>
        <v>297</v>
      </c>
      <c r="R53" s="1672">
        <f>2*Q53</f>
        <v>594</v>
      </c>
      <c r="S53" s="1673">
        <f>R53+(2*71)</f>
        <v>736</v>
      </c>
      <c r="T53" s="865">
        <v>0</v>
      </c>
      <c r="U53" s="865">
        <v>93</v>
      </c>
      <c r="V53" s="865">
        <v>1</v>
      </c>
      <c r="W53" s="865" t="s">
        <v>13</v>
      </c>
      <c r="X53" s="865">
        <f>SUM(T53:W53)</f>
        <v>94</v>
      </c>
      <c r="Y53" s="1018">
        <f>X53*2</f>
        <v>188</v>
      </c>
      <c r="Z53" s="1019">
        <f>Y53+23</f>
        <v>211</v>
      </c>
      <c r="AA53" s="618">
        <f>Z53-H53</f>
        <v>55.06</v>
      </c>
      <c r="AB53" s="625">
        <f>Z53-I53</f>
        <v>125.23299999999999</v>
      </c>
      <c r="AC53" s="621">
        <v>322</v>
      </c>
      <c r="AD53" s="624">
        <f>(33.89)+(AC53*0.2095)</f>
        <v>101.349</v>
      </c>
      <c r="AE53" s="624">
        <f>X53-U53+AD53</f>
        <v>102.349</v>
      </c>
      <c r="AF53" s="695">
        <f>2*AE53</f>
        <v>204.69800000000001</v>
      </c>
      <c r="AG53" s="1429">
        <f>AF53+(23)</f>
        <v>227.69800000000001</v>
      </c>
      <c r="AH53" s="655">
        <f>AG53-I53</f>
        <v>141.93099999999998</v>
      </c>
      <c r="AI53" s="1427" t="s">
        <v>889</v>
      </c>
      <c r="AJ53" s="617">
        <v>96</v>
      </c>
      <c r="AK53" s="617">
        <f>(2*AJ53)+(2*71)+(2*45)</f>
        <v>424</v>
      </c>
      <c r="AL53" s="671">
        <f>S53-AK53</f>
        <v>312</v>
      </c>
      <c r="AM53" s="624">
        <f>15</f>
        <v>15</v>
      </c>
      <c r="AN53" s="867">
        <f>154+23+AM53</f>
        <v>192</v>
      </c>
      <c r="AO53" s="274">
        <f>Z53-AN53</f>
        <v>19</v>
      </c>
      <c r="AP53" s="1428"/>
      <c r="AQ53" s="1014" t="s">
        <v>1247</v>
      </c>
      <c r="AR53" s="276">
        <f>H53</f>
        <v>155.94</v>
      </c>
      <c r="AS53" s="276">
        <f>Z53</f>
        <v>211</v>
      </c>
      <c r="AT53" s="276">
        <f>AN53</f>
        <v>192</v>
      </c>
      <c r="AU53" s="733">
        <f t="shared" si="117"/>
        <v>39.100000000000023</v>
      </c>
      <c r="AV53" s="460">
        <f>S53-AK53</f>
        <v>312</v>
      </c>
      <c r="BD53" s="864"/>
      <c r="BE53" s="1623">
        <f t="shared" si="130"/>
        <v>6</v>
      </c>
      <c r="BF53" s="825"/>
      <c r="BG53" s="825"/>
      <c r="BH53" s="1630">
        <v>1</v>
      </c>
      <c r="BI53" s="1630"/>
      <c r="BJ53" s="825"/>
      <c r="BK53" s="825"/>
      <c r="BL53" s="825"/>
      <c r="BM53" s="825"/>
      <c r="BN53" s="825"/>
      <c r="BO53" s="825"/>
      <c r="BP53" s="825"/>
      <c r="BQ53" s="825"/>
      <c r="BR53" s="825"/>
      <c r="BS53" s="825"/>
      <c r="BT53" s="825"/>
    </row>
    <row r="54" spans="1:72" s="863" customFormat="1" ht="15" customHeight="1">
      <c r="A54" s="936">
        <f t="shared" si="131"/>
        <v>20</v>
      </c>
      <c r="B54" s="886">
        <f t="shared" ref="B54" si="132">B53+1</f>
        <v>7</v>
      </c>
      <c r="C54" s="1015" t="s">
        <v>615</v>
      </c>
      <c r="D54" s="630">
        <v>391</v>
      </c>
      <c r="E54" s="642">
        <f>2*D54</f>
        <v>782</v>
      </c>
      <c r="F54" s="642">
        <f>2*348</f>
        <v>696</v>
      </c>
      <c r="G54" s="632">
        <f t="shared" ref="G54" si="133">F54*1.15</f>
        <v>800.4</v>
      </c>
      <c r="H54" s="620">
        <f t="shared" ref="H54" si="134">E54*0.23</f>
        <v>179.86</v>
      </c>
      <c r="I54" s="628">
        <f t="shared" ref="I54" si="135">0.5*H54*1.1</f>
        <v>98.923000000000016</v>
      </c>
      <c r="J54" s="1244" t="s">
        <v>136</v>
      </c>
      <c r="K54" s="617">
        <v>187</v>
      </c>
      <c r="L54" s="617">
        <v>15</v>
      </c>
      <c r="M54" s="617">
        <f>200-10</f>
        <v>190</v>
      </c>
      <c r="N54" s="1241" t="s">
        <v>136</v>
      </c>
      <c r="O54" s="1241" t="s">
        <v>136</v>
      </c>
      <c r="P54" s="1241" t="s">
        <v>136</v>
      </c>
      <c r="Q54" s="866">
        <f t="shared" si="118"/>
        <v>392</v>
      </c>
      <c r="R54" s="1672">
        <f t="shared" si="119"/>
        <v>784</v>
      </c>
      <c r="S54" s="1673">
        <f t="shared" si="120"/>
        <v>926</v>
      </c>
      <c r="T54" s="865">
        <v>0</v>
      </c>
      <c r="U54" s="865">
        <v>93</v>
      </c>
      <c r="V54" s="865">
        <v>1</v>
      </c>
      <c r="W54" s="865" t="s">
        <v>13</v>
      </c>
      <c r="X54" s="865">
        <f t="shared" si="121"/>
        <v>94</v>
      </c>
      <c r="Y54" s="1018">
        <f t="shared" si="122"/>
        <v>188</v>
      </c>
      <c r="Z54" s="1019">
        <f t="shared" si="123"/>
        <v>211</v>
      </c>
      <c r="AA54" s="618">
        <f>Z54-H54</f>
        <v>31.139999999999986</v>
      </c>
      <c r="AB54" s="625">
        <f>Z54-I54</f>
        <v>112.07699999999998</v>
      </c>
      <c r="AC54" s="621">
        <v>337</v>
      </c>
      <c r="AD54" s="624">
        <f t="shared" si="115"/>
        <v>104.4915</v>
      </c>
      <c r="AE54" s="624">
        <f t="shared" si="124"/>
        <v>105.4915</v>
      </c>
      <c r="AF54" s="281">
        <f t="shared" si="125"/>
        <v>210.983</v>
      </c>
      <c r="AG54" s="369">
        <f t="shared" si="126"/>
        <v>233.983</v>
      </c>
      <c r="AH54" s="655">
        <f t="shared" si="127"/>
        <v>135.06</v>
      </c>
      <c r="AI54" s="1303" t="s">
        <v>889</v>
      </c>
      <c r="AJ54" s="617">
        <v>96</v>
      </c>
      <c r="AK54" s="617">
        <f t="shared" si="116"/>
        <v>424</v>
      </c>
      <c r="AL54" s="671">
        <f t="shared" si="128"/>
        <v>502</v>
      </c>
      <c r="AM54" s="623">
        <f>15+15</f>
        <v>30</v>
      </c>
      <c r="AN54" s="867">
        <f>154+23+AM54</f>
        <v>207</v>
      </c>
      <c r="AO54" s="274">
        <f>Z54-AN54</f>
        <v>4</v>
      </c>
      <c r="AP54" s="1122"/>
      <c r="AQ54" s="1015" t="s">
        <v>617</v>
      </c>
      <c r="AR54" s="276">
        <f>H54</f>
        <v>179.86</v>
      </c>
      <c r="AS54" s="183">
        <f>Z54</f>
        <v>211</v>
      </c>
      <c r="AT54" s="183">
        <f t="shared" si="129"/>
        <v>207</v>
      </c>
      <c r="AU54" s="733">
        <f t="shared" si="117"/>
        <v>125.60000000000002</v>
      </c>
      <c r="AV54" s="460">
        <f>S54-AK54</f>
        <v>502</v>
      </c>
      <c r="BD54" s="864"/>
      <c r="BE54" s="1623">
        <f t="shared" si="130"/>
        <v>7</v>
      </c>
      <c r="BF54" s="825"/>
      <c r="BG54" s="825"/>
      <c r="BH54" s="1630">
        <v>1</v>
      </c>
      <c r="BI54" s="1630"/>
      <c r="BJ54" s="825"/>
      <c r="BK54" s="825"/>
      <c r="BL54" s="825"/>
      <c r="BM54" s="825"/>
      <c r="BN54" s="825"/>
      <c r="BO54" s="825"/>
      <c r="BP54" s="825"/>
      <c r="BQ54" s="825"/>
      <c r="BR54" s="825"/>
      <c r="BS54" s="825"/>
      <c r="BT54" s="825"/>
    </row>
    <row r="55" spans="1:72" s="14" customFormat="1" ht="90" customHeight="1">
      <c r="A55" s="927"/>
      <c r="B55" s="143"/>
      <c r="C55" s="1777" t="s">
        <v>984</v>
      </c>
      <c r="D55" s="1805" t="s">
        <v>985</v>
      </c>
      <c r="E55" s="1806"/>
      <c r="F55" s="1808" t="s">
        <v>880</v>
      </c>
      <c r="G55" s="1859" t="s">
        <v>881</v>
      </c>
      <c r="H55" s="1238" t="s">
        <v>345</v>
      </c>
      <c r="I55" s="1898"/>
      <c r="J55" s="1669" t="s">
        <v>1241</v>
      </c>
      <c r="K55" s="1794" t="s">
        <v>346</v>
      </c>
      <c r="L55" s="1794" t="s">
        <v>1242</v>
      </c>
      <c r="M55" s="1794" t="s">
        <v>609</v>
      </c>
      <c r="N55" s="901"/>
      <c r="O55" s="901"/>
      <c r="P55" s="901"/>
      <c r="Q55" s="901"/>
      <c r="R55" s="626"/>
      <c r="S55" s="1866" t="s">
        <v>980</v>
      </c>
      <c r="T55" s="1670" t="s">
        <v>1243</v>
      </c>
      <c r="U55" s="1798" t="s">
        <v>348</v>
      </c>
      <c r="V55" s="1803" t="s">
        <v>888</v>
      </c>
      <c r="W55" s="147"/>
      <c r="X55" s="147"/>
      <c r="Y55" s="258"/>
      <c r="Z55" s="1799" t="s">
        <v>974</v>
      </c>
      <c r="AA55" s="31"/>
      <c r="AB55" s="1801" t="s">
        <v>349</v>
      </c>
      <c r="AC55" s="1803" t="s">
        <v>200</v>
      </c>
      <c r="AD55" s="1260" t="s">
        <v>350</v>
      </c>
      <c r="AE55" s="147"/>
      <c r="AF55" s="258"/>
      <c r="AG55" s="1799" t="s">
        <v>974</v>
      </c>
      <c r="AH55" s="631"/>
      <c r="AI55" s="1304"/>
      <c r="AJ55" s="1796" t="s">
        <v>1151</v>
      </c>
      <c r="AK55" s="1884"/>
      <c r="AL55" s="1596" t="s">
        <v>1199</v>
      </c>
      <c r="AM55" s="634"/>
      <c r="AN55" s="1810" t="s">
        <v>885</v>
      </c>
      <c r="AO55" s="615"/>
      <c r="AP55" s="1116"/>
      <c r="AQ55" s="1776"/>
      <c r="AR55" s="398"/>
      <c r="AS55" s="398"/>
      <c r="AT55" s="398"/>
      <c r="AU55" s="398"/>
      <c r="AV55" s="561"/>
      <c r="BD55" s="46"/>
      <c r="BF55" s="199"/>
      <c r="BG55" s="199"/>
      <c r="BH55" s="199"/>
      <c r="BI55" s="199"/>
      <c r="BJ55" s="199"/>
      <c r="BK55" s="199"/>
      <c r="BL55" s="199"/>
      <c r="BM55" s="199"/>
      <c r="BN55" s="199"/>
      <c r="BO55" s="199"/>
      <c r="BP55" s="199"/>
      <c r="BQ55" s="199"/>
      <c r="BR55" s="199"/>
      <c r="BS55" s="199"/>
      <c r="BT55" s="199"/>
    </row>
    <row r="56" spans="1:72" s="14" customFormat="1">
      <c r="A56" s="927"/>
      <c r="B56" s="143"/>
      <c r="C56" s="1778"/>
      <c r="D56" s="1807"/>
      <c r="E56" s="1806"/>
      <c r="F56" s="1809"/>
      <c r="G56" s="1806"/>
      <c r="H56" s="1193"/>
      <c r="I56" s="1899"/>
      <c r="J56" s="902"/>
      <c r="K56" s="1795"/>
      <c r="L56" s="1795"/>
      <c r="M56" s="1795"/>
      <c r="N56" s="902"/>
      <c r="O56" s="902"/>
      <c r="P56" s="902"/>
      <c r="Q56" s="902"/>
      <c r="R56" s="627"/>
      <c r="S56" s="1866"/>
      <c r="T56" s="1302"/>
      <c r="U56" s="1737"/>
      <c r="V56" s="1882"/>
      <c r="W56" s="849"/>
      <c r="X56" s="849"/>
      <c r="Y56" s="258"/>
      <c r="Z56" s="1800"/>
      <c r="AA56" s="31"/>
      <c r="AB56" s="1802"/>
      <c r="AC56" s="1804"/>
      <c r="AD56" s="991"/>
      <c r="AE56" s="991"/>
      <c r="AF56" s="258"/>
      <c r="AG56" s="1800"/>
      <c r="AH56" s="631"/>
      <c r="AI56" s="1304"/>
      <c r="AJ56" s="1797"/>
      <c r="AK56" s="1865"/>
      <c r="AL56" s="1305"/>
      <c r="AM56" s="31"/>
      <c r="AN56" s="1810"/>
      <c r="AO56" s="848"/>
      <c r="AP56" s="1116"/>
      <c r="AQ56" s="1700"/>
      <c r="AR56" s="398"/>
      <c r="AS56" s="398"/>
      <c r="AT56" s="398"/>
      <c r="AU56" s="398"/>
      <c r="AV56" s="561"/>
      <c r="BD56" s="46"/>
      <c r="BF56" s="199"/>
      <c r="BG56" s="199"/>
      <c r="BH56" s="199"/>
      <c r="BI56" s="199"/>
      <c r="BJ56" s="199"/>
      <c r="BK56" s="199"/>
      <c r="BL56" s="199"/>
      <c r="BM56" s="199"/>
      <c r="BN56" s="199"/>
      <c r="BO56" s="199"/>
      <c r="BP56" s="199"/>
      <c r="BQ56" s="199"/>
      <c r="BR56" s="199"/>
      <c r="BS56" s="199"/>
      <c r="BT56" s="199"/>
    </row>
    <row r="57" spans="1:72" s="14" customFormat="1">
      <c r="A57" s="927"/>
      <c r="B57" s="143"/>
      <c r="C57" s="1778"/>
      <c r="D57" s="1807"/>
      <c r="E57" s="1806"/>
      <c r="F57" s="1809"/>
      <c r="G57" s="1806"/>
      <c r="H57" s="1193"/>
      <c r="I57" s="1899"/>
      <c r="J57" s="902"/>
      <c r="K57" s="1795"/>
      <c r="L57" s="1795"/>
      <c r="M57" s="1795"/>
      <c r="N57" s="902"/>
      <c r="O57" s="902"/>
      <c r="P57" s="902"/>
      <c r="Q57" s="902"/>
      <c r="R57" s="627"/>
      <c r="S57" s="1866"/>
      <c r="T57" s="849"/>
      <c r="U57" s="1737"/>
      <c r="V57" s="1882"/>
      <c r="W57" s="849"/>
      <c r="X57" s="849"/>
      <c r="Y57" s="258"/>
      <c r="Z57" s="1800"/>
      <c r="AA57" s="31"/>
      <c r="AB57" s="1802"/>
      <c r="AC57" s="1804"/>
      <c r="AD57" s="991"/>
      <c r="AE57" s="991"/>
      <c r="AF57" s="258"/>
      <c r="AG57" s="1800"/>
      <c r="AH57" s="631"/>
      <c r="AI57" s="1304"/>
      <c r="AJ57" s="1797"/>
      <c r="AK57" s="1865"/>
      <c r="AL57" s="1305"/>
      <c r="AM57" s="31"/>
      <c r="AN57" s="1810"/>
      <c r="AO57" s="848"/>
      <c r="AP57" s="1116"/>
      <c r="AQ57" s="1700"/>
      <c r="AR57" s="398"/>
      <c r="AS57" s="398"/>
      <c r="AT57" s="398"/>
      <c r="AU57" s="398"/>
      <c r="AV57" s="561"/>
      <c r="BD57" s="46"/>
      <c r="BF57" s="199"/>
      <c r="BG57" s="199"/>
      <c r="BH57" s="199"/>
      <c r="BI57" s="199"/>
      <c r="BJ57" s="199"/>
      <c r="BK57" s="199"/>
      <c r="BL57" s="199"/>
      <c r="BM57" s="199"/>
      <c r="BN57" s="199"/>
      <c r="BO57" s="199"/>
      <c r="BP57" s="199"/>
      <c r="BQ57" s="199"/>
      <c r="BR57" s="199"/>
      <c r="BS57" s="199"/>
      <c r="BT57" s="199"/>
    </row>
    <row r="58" spans="1:72" s="14" customFormat="1">
      <c r="A58" s="927"/>
      <c r="B58" s="143"/>
      <c r="C58" s="1778"/>
      <c r="D58" s="1807"/>
      <c r="E58" s="1806"/>
      <c r="F58" s="1809"/>
      <c r="G58" s="1806"/>
      <c r="H58" s="1193"/>
      <c r="I58" s="1899"/>
      <c r="J58" s="902"/>
      <c r="K58" s="1795"/>
      <c r="L58" s="1795"/>
      <c r="M58" s="1795"/>
      <c r="N58" s="902"/>
      <c r="O58" s="902"/>
      <c r="P58" s="902"/>
      <c r="Q58" s="902"/>
      <c r="R58" s="627"/>
      <c r="S58" s="1866"/>
      <c r="T58" s="849"/>
      <c r="U58" s="1737"/>
      <c r="V58" s="1882"/>
      <c r="W58" s="849"/>
      <c r="X58" s="849"/>
      <c r="Y58" s="258"/>
      <c r="Z58" s="1800"/>
      <c r="AA58" s="31"/>
      <c r="AB58" s="1802"/>
      <c r="AC58" s="1804"/>
      <c r="AD58" s="991"/>
      <c r="AE58" s="991"/>
      <c r="AF58" s="258"/>
      <c r="AG58" s="1800"/>
      <c r="AH58" s="631"/>
      <c r="AI58" s="1304"/>
      <c r="AJ58" s="1797"/>
      <c r="AK58" s="1865"/>
      <c r="AL58" s="1305"/>
      <c r="AM58" s="31"/>
      <c r="AN58" s="1810"/>
      <c r="AO58" s="848"/>
      <c r="AP58" s="1116"/>
      <c r="AQ58" s="1700"/>
      <c r="AR58" s="398"/>
      <c r="AS58" s="398"/>
      <c r="AT58" s="398"/>
      <c r="AU58" s="398"/>
      <c r="AV58" s="561" t="s">
        <v>105</v>
      </c>
      <c r="BD58" s="46"/>
      <c r="BF58" s="199"/>
      <c r="BG58" s="199"/>
      <c r="BH58" s="199"/>
      <c r="BI58" s="199"/>
      <c r="BJ58" s="199"/>
      <c r="BK58" s="199"/>
      <c r="BL58" s="199"/>
      <c r="BM58" s="199"/>
      <c r="BN58" s="199"/>
      <c r="BO58" s="199"/>
      <c r="BP58" s="199"/>
      <c r="BQ58" s="199"/>
      <c r="BR58" s="199"/>
      <c r="BS58" s="199"/>
      <c r="BT58" s="199"/>
    </row>
    <row r="59" spans="1:72" s="14" customFormat="1">
      <c r="A59" s="927"/>
      <c r="B59" s="143"/>
      <c r="C59" s="1778"/>
      <c r="D59" s="1807"/>
      <c r="E59" s="1806"/>
      <c r="F59" s="1809"/>
      <c r="G59" s="1806"/>
      <c r="H59" s="1193"/>
      <c r="I59" s="1899"/>
      <c r="J59" s="902"/>
      <c r="K59" s="1795"/>
      <c r="L59" s="1795"/>
      <c r="M59" s="1795"/>
      <c r="N59" s="902"/>
      <c r="O59" s="902"/>
      <c r="P59" s="902"/>
      <c r="Q59" s="902"/>
      <c r="R59" s="627"/>
      <c r="S59" s="1866"/>
      <c r="T59" s="849"/>
      <c r="U59" s="1737"/>
      <c r="V59" s="1882"/>
      <c r="W59" s="849"/>
      <c r="X59" s="849"/>
      <c r="Y59" s="258"/>
      <c r="Z59" s="1800"/>
      <c r="AA59" s="31"/>
      <c r="AB59" s="1802"/>
      <c r="AC59" s="1804"/>
      <c r="AD59" s="991"/>
      <c r="AE59" s="991"/>
      <c r="AF59" s="258"/>
      <c r="AG59" s="1800"/>
      <c r="AH59" s="631"/>
      <c r="AI59" s="1304"/>
      <c r="AJ59" s="1797"/>
      <c r="AK59" s="1865"/>
      <c r="AL59" s="1305"/>
      <c r="AM59" s="31"/>
      <c r="AN59" s="992"/>
      <c r="AO59" s="848"/>
      <c r="AP59" s="1116"/>
      <c r="AQ59" s="1700"/>
      <c r="AR59" s="398"/>
      <c r="AS59" s="398"/>
      <c r="AT59" s="398"/>
      <c r="AU59" s="398"/>
      <c r="AV59" s="561"/>
      <c r="BD59" s="46"/>
      <c r="BF59" s="199"/>
      <c r="BG59" s="199"/>
      <c r="BH59" s="199"/>
      <c r="BI59" s="199"/>
      <c r="BJ59" s="199"/>
      <c r="BK59" s="199"/>
      <c r="BL59" s="199"/>
      <c r="BM59" s="199"/>
      <c r="BN59" s="199"/>
      <c r="BO59" s="199"/>
      <c r="BP59" s="199"/>
      <c r="BQ59" s="199"/>
      <c r="BR59" s="199"/>
      <c r="BS59" s="199"/>
      <c r="BT59" s="199"/>
    </row>
    <row r="60" spans="1:72" s="14" customFormat="1">
      <c r="A60" s="927"/>
      <c r="B60" s="143"/>
      <c r="C60" s="1778"/>
      <c r="D60" s="1807"/>
      <c r="E60" s="1806"/>
      <c r="F60" s="1809"/>
      <c r="G60" s="1806"/>
      <c r="H60" s="1193"/>
      <c r="I60" s="1899"/>
      <c r="J60" s="902"/>
      <c r="K60" s="1795"/>
      <c r="L60" s="1795"/>
      <c r="M60" s="1795"/>
      <c r="N60" s="902"/>
      <c r="O60" s="902"/>
      <c r="P60" s="902"/>
      <c r="Q60" s="902"/>
      <c r="R60" s="627"/>
      <c r="S60" s="1866"/>
      <c r="T60" s="849"/>
      <c r="U60" s="1737"/>
      <c r="V60" s="1882"/>
      <c r="W60" s="849"/>
      <c r="X60" s="849"/>
      <c r="Y60" s="258"/>
      <c r="Z60" s="1800"/>
      <c r="AA60" s="31"/>
      <c r="AB60" s="1802"/>
      <c r="AC60" s="1804"/>
      <c r="AD60" s="991"/>
      <c r="AE60" s="991"/>
      <c r="AF60" s="258"/>
      <c r="AG60" s="1800"/>
      <c r="AH60" s="631"/>
      <c r="AI60" s="1304"/>
      <c r="AJ60" s="1797"/>
      <c r="AK60" s="1865"/>
      <c r="AL60" s="1305"/>
      <c r="AM60" s="31"/>
      <c r="AN60" s="992"/>
      <c r="AO60" s="848"/>
      <c r="AP60" s="1116"/>
      <c r="AQ60" s="1700"/>
      <c r="AR60" s="398"/>
      <c r="AS60" s="398"/>
      <c r="AT60" s="398"/>
      <c r="AU60" s="398"/>
      <c r="AV60" s="561"/>
      <c r="BD60" s="46"/>
      <c r="BF60" s="199"/>
      <c r="BG60" s="199"/>
      <c r="BH60" s="199"/>
      <c r="BI60" s="199"/>
      <c r="BJ60" s="199"/>
      <c r="BK60" s="199"/>
      <c r="BL60" s="199"/>
      <c r="BM60" s="199"/>
      <c r="BN60" s="199"/>
      <c r="BO60" s="199"/>
      <c r="BP60" s="199"/>
      <c r="BQ60" s="199"/>
      <c r="BR60" s="199"/>
      <c r="BS60" s="199"/>
      <c r="BT60" s="199"/>
    </row>
    <row r="61" spans="1:72" s="14" customFormat="1">
      <c r="A61" s="927"/>
      <c r="B61" s="143"/>
      <c r="C61" s="1778"/>
      <c r="D61" s="1807"/>
      <c r="E61" s="1806"/>
      <c r="F61" s="1809"/>
      <c r="G61" s="1806"/>
      <c r="H61" s="1193"/>
      <c r="I61" s="1899"/>
      <c r="J61" s="902"/>
      <c r="K61" s="1795"/>
      <c r="L61" s="1795"/>
      <c r="M61" s="1795"/>
      <c r="N61" s="902"/>
      <c r="O61" s="902"/>
      <c r="P61" s="902"/>
      <c r="Q61" s="902"/>
      <c r="R61" s="627"/>
      <c r="S61" s="1866"/>
      <c r="T61" s="849"/>
      <c r="U61" s="1737"/>
      <c r="V61" s="1882"/>
      <c r="W61" s="849"/>
      <c r="X61" s="849"/>
      <c r="Y61" s="258"/>
      <c r="Z61" s="1800"/>
      <c r="AA61" s="31"/>
      <c r="AB61" s="1802"/>
      <c r="AC61" s="1804"/>
      <c r="AD61" s="991"/>
      <c r="AE61" s="991"/>
      <c r="AF61" s="258"/>
      <c r="AG61" s="1800"/>
      <c r="AH61" s="631"/>
      <c r="AI61" s="1304"/>
      <c r="AJ61" s="1797"/>
      <c r="AK61" s="1865"/>
      <c r="AL61" s="1305"/>
      <c r="AM61" s="31"/>
      <c r="AN61" s="992"/>
      <c r="AO61" s="848"/>
      <c r="AP61" s="1116"/>
      <c r="AQ61" s="1700"/>
      <c r="AR61" s="398"/>
      <c r="AS61" s="398"/>
      <c r="AT61" s="398"/>
      <c r="AU61" s="398"/>
      <c r="AV61" s="561"/>
      <c r="BD61" s="46"/>
      <c r="BF61" s="199"/>
      <c r="BG61" s="199"/>
      <c r="BH61" s="199"/>
      <c r="BI61" s="199"/>
      <c r="BJ61" s="199"/>
      <c r="BK61" s="199"/>
      <c r="BL61" s="199"/>
      <c r="BM61" s="199"/>
      <c r="BN61" s="199"/>
      <c r="BO61" s="199"/>
      <c r="BP61" s="199"/>
      <c r="BQ61" s="199"/>
      <c r="BR61" s="199"/>
      <c r="BS61" s="199"/>
      <c r="BT61" s="199"/>
    </row>
    <row r="62" spans="1:72" s="14" customFormat="1">
      <c r="A62" s="927"/>
      <c r="B62" s="143"/>
      <c r="C62" s="1778"/>
      <c r="D62" s="1807"/>
      <c r="E62" s="1806"/>
      <c r="F62" s="1809"/>
      <c r="G62" s="1806"/>
      <c r="H62" s="1193"/>
      <c r="I62" s="1899"/>
      <c r="J62" s="902"/>
      <c r="K62" s="1795"/>
      <c r="L62" s="1795"/>
      <c r="M62" s="1795"/>
      <c r="N62" s="902"/>
      <c r="O62" s="902"/>
      <c r="P62" s="902"/>
      <c r="Q62" s="902"/>
      <c r="R62" s="627"/>
      <c r="S62" s="1866"/>
      <c r="T62" s="849"/>
      <c r="U62" s="1737"/>
      <c r="V62" s="1882"/>
      <c r="W62" s="849"/>
      <c r="X62" s="849"/>
      <c r="Y62" s="258"/>
      <c r="Z62" s="1800"/>
      <c r="AA62" s="31"/>
      <c r="AB62" s="1802"/>
      <c r="AC62" s="1804"/>
      <c r="AD62" s="991"/>
      <c r="AE62" s="991"/>
      <c r="AF62" s="258"/>
      <c r="AG62" s="1800"/>
      <c r="AH62" s="631"/>
      <c r="AI62" s="1304"/>
      <c r="AJ62" s="1797"/>
      <c r="AK62" s="1865"/>
      <c r="AL62" s="1305"/>
      <c r="AM62" s="31"/>
      <c r="AN62" s="992"/>
      <c r="AO62" s="848"/>
      <c r="AP62" s="1116"/>
      <c r="AQ62" s="1700"/>
      <c r="AR62" s="398"/>
      <c r="AS62" s="398"/>
      <c r="AT62" s="398"/>
      <c r="AU62" s="398"/>
      <c r="AV62" s="561"/>
      <c r="BD62" s="46"/>
      <c r="BF62" s="199"/>
      <c r="BG62" s="199"/>
      <c r="BH62" s="199"/>
      <c r="BI62" s="199"/>
      <c r="BJ62" s="199"/>
      <c r="BK62" s="199"/>
      <c r="BL62" s="199"/>
      <c r="BM62" s="199"/>
      <c r="BN62" s="199"/>
      <c r="BO62" s="199"/>
      <c r="BP62" s="199"/>
      <c r="BQ62" s="199"/>
      <c r="BR62" s="199"/>
      <c r="BS62" s="199"/>
      <c r="BT62" s="199"/>
    </row>
    <row r="63" spans="1:72" s="14" customFormat="1">
      <c r="A63" s="927"/>
      <c r="B63" s="143"/>
      <c r="C63" s="1778"/>
      <c r="D63" s="1807"/>
      <c r="E63" s="1806"/>
      <c r="F63" s="1809"/>
      <c r="G63" s="1806"/>
      <c r="H63" s="1193"/>
      <c r="I63" s="1899"/>
      <c r="J63" s="902"/>
      <c r="K63" s="1795"/>
      <c r="L63" s="1795"/>
      <c r="M63" s="1795"/>
      <c r="N63" s="902"/>
      <c r="O63" s="902"/>
      <c r="P63" s="902"/>
      <c r="Q63" s="902"/>
      <c r="R63" s="627"/>
      <c r="S63" s="1866"/>
      <c r="T63" s="849"/>
      <c r="U63" s="1737"/>
      <c r="V63" s="1882"/>
      <c r="W63" s="849"/>
      <c r="X63" s="849"/>
      <c r="Y63" s="258"/>
      <c r="Z63" s="1800"/>
      <c r="AA63" s="31"/>
      <c r="AB63" s="1802"/>
      <c r="AC63" s="1804"/>
      <c r="AD63" s="991"/>
      <c r="AE63" s="991"/>
      <c r="AF63" s="258"/>
      <c r="AG63" s="1800"/>
      <c r="AH63" s="631"/>
      <c r="AI63" s="1304"/>
      <c r="AJ63" s="1797"/>
      <c r="AK63" s="1865"/>
      <c r="AL63" s="1305"/>
      <c r="AM63" s="31"/>
      <c r="AN63" s="992"/>
      <c r="AO63" s="848"/>
      <c r="AP63" s="1116"/>
      <c r="AQ63" s="1700"/>
      <c r="AR63" s="398"/>
      <c r="AS63" s="398"/>
      <c r="AT63" s="398"/>
      <c r="AU63" s="398"/>
      <c r="AV63" s="561"/>
      <c r="BD63" s="46"/>
      <c r="BF63" s="199"/>
      <c r="BG63" s="199"/>
      <c r="BH63" s="199"/>
      <c r="BI63" s="199"/>
      <c r="BJ63" s="199"/>
      <c r="BK63" s="199"/>
      <c r="BL63" s="199"/>
      <c r="BM63" s="199"/>
      <c r="BN63" s="199"/>
      <c r="BO63" s="199"/>
      <c r="BP63" s="199"/>
      <c r="BQ63" s="199"/>
      <c r="BR63" s="199"/>
      <c r="BS63" s="199"/>
      <c r="BT63" s="199"/>
    </row>
    <row r="64" spans="1:72" s="14" customFormat="1">
      <c r="A64" s="927"/>
      <c r="B64" s="143"/>
      <c r="C64" s="1778"/>
      <c r="D64" s="1807"/>
      <c r="E64" s="1806"/>
      <c r="F64" s="1809"/>
      <c r="G64" s="1806"/>
      <c r="H64" s="1193"/>
      <c r="I64" s="1899"/>
      <c r="J64" s="902"/>
      <c r="K64" s="1795"/>
      <c r="L64" s="1795"/>
      <c r="M64" s="1795"/>
      <c r="N64" s="902"/>
      <c r="O64" s="902"/>
      <c r="P64" s="902"/>
      <c r="Q64" s="902"/>
      <c r="R64" s="627"/>
      <c r="S64" s="1866"/>
      <c r="T64" s="849"/>
      <c r="U64" s="1737"/>
      <c r="V64" s="1882"/>
      <c r="W64" s="849"/>
      <c r="X64" s="849"/>
      <c r="Y64" s="258"/>
      <c r="Z64" s="1800"/>
      <c r="AA64" s="31"/>
      <c r="AB64" s="1802"/>
      <c r="AC64" s="1804"/>
      <c r="AD64" s="991"/>
      <c r="AE64" s="991"/>
      <c r="AF64" s="258"/>
      <c r="AG64" s="1800"/>
      <c r="AH64" s="631"/>
      <c r="AI64" s="1304"/>
      <c r="AJ64" s="1797"/>
      <c r="AK64" s="1865"/>
      <c r="AL64" s="1305"/>
      <c r="AM64" s="31"/>
      <c r="AN64" s="992"/>
      <c r="AO64" s="848"/>
      <c r="AP64" s="1116"/>
      <c r="AQ64" s="1700"/>
      <c r="AR64" s="398"/>
      <c r="AS64" s="398"/>
      <c r="AT64" s="398"/>
      <c r="AU64" s="398"/>
      <c r="AV64" s="561"/>
      <c r="BD64" s="46"/>
      <c r="BF64" s="199"/>
      <c r="BG64" s="199"/>
      <c r="BH64" s="199"/>
      <c r="BI64" s="199"/>
      <c r="BJ64" s="199"/>
      <c r="BK64" s="199"/>
      <c r="BL64" s="199"/>
      <c r="BM64" s="199"/>
      <c r="BN64" s="199"/>
      <c r="BO64" s="199"/>
      <c r="BP64" s="199"/>
      <c r="BQ64" s="199"/>
      <c r="BR64" s="199"/>
      <c r="BS64" s="199"/>
      <c r="BT64" s="199"/>
    </row>
    <row r="65" spans="1:72" s="14" customFormat="1" ht="76" customHeight="1">
      <c r="A65" s="927"/>
      <c r="B65" s="143"/>
      <c r="C65" s="1778"/>
      <c r="D65" s="1807"/>
      <c r="E65" s="1806"/>
      <c r="F65" s="1809"/>
      <c r="G65" s="1806"/>
      <c r="H65" s="1193"/>
      <c r="I65" s="1899"/>
      <c r="J65" s="902"/>
      <c r="K65" s="1795"/>
      <c r="L65" s="1795"/>
      <c r="M65" s="1795"/>
      <c r="N65" s="902"/>
      <c r="O65" s="902"/>
      <c r="P65" s="902"/>
      <c r="Q65" s="902"/>
      <c r="R65" s="627"/>
      <c r="S65" s="1866"/>
      <c r="T65" s="849"/>
      <c r="U65" s="1737"/>
      <c r="V65" s="1882"/>
      <c r="W65" s="849"/>
      <c r="X65" s="849"/>
      <c r="Y65" s="258"/>
      <c r="Z65" s="1800"/>
      <c r="AA65" s="31"/>
      <c r="AB65" s="1802"/>
      <c r="AC65" s="1804"/>
      <c r="AD65" s="991"/>
      <c r="AE65" s="991"/>
      <c r="AF65" s="258"/>
      <c r="AG65" s="1800"/>
      <c r="AH65" s="631"/>
      <c r="AI65" s="1304"/>
      <c r="AJ65" s="1797"/>
      <c r="AK65" s="1865"/>
      <c r="AL65" s="1305"/>
      <c r="AM65" s="31"/>
      <c r="AN65" s="992"/>
      <c r="AO65" s="848"/>
      <c r="AP65" s="1116"/>
      <c r="AQ65" s="1700"/>
      <c r="AR65" s="398"/>
      <c r="AS65" s="398"/>
      <c r="AT65" s="398"/>
      <c r="AU65" s="398"/>
      <c r="AV65" s="561"/>
      <c r="BD65" s="46"/>
      <c r="BF65" s="199"/>
      <c r="BG65" s="199"/>
      <c r="BH65" s="199"/>
      <c r="BI65" s="199"/>
      <c r="BJ65" s="199"/>
      <c r="BK65" s="199"/>
      <c r="BL65" s="199"/>
      <c r="BM65" s="199"/>
      <c r="BN65" s="199"/>
      <c r="BO65" s="199"/>
      <c r="BP65" s="199"/>
      <c r="BQ65" s="199"/>
      <c r="BR65" s="199"/>
      <c r="BS65" s="199"/>
      <c r="BT65" s="199"/>
    </row>
    <row r="66" spans="1:72">
      <c r="K66" s="868"/>
      <c r="L66" s="868"/>
      <c r="M66" s="868"/>
      <c r="AJ66" s="27" t="s">
        <v>105</v>
      </c>
    </row>
    <row r="68" spans="1:72" s="14" customFormat="1" ht="40" customHeight="1">
      <c r="A68" s="927"/>
      <c r="B68" s="931" t="s">
        <v>100</v>
      </c>
      <c r="C68" s="1560" t="s">
        <v>35</v>
      </c>
      <c r="D68" s="1690" t="s">
        <v>168</v>
      </c>
      <c r="E68" s="1767"/>
      <c r="F68" s="1767"/>
      <c r="G68" s="1767"/>
      <c r="H68" s="1767"/>
      <c r="I68" s="1768"/>
      <c r="J68" s="1788" t="s">
        <v>645</v>
      </c>
      <c r="K68" s="1789"/>
      <c r="L68" s="1790"/>
      <c r="M68" s="1790"/>
      <c r="N68" s="1790"/>
      <c r="O68" s="1790"/>
      <c r="P68" s="1791"/>
      <c r="Q68" s="1790"/>
      <c r="R68" s="1684" t="s">
        <v>882</v>
      </c>
      <c r="S68" s="1779"/>
      <c r="T68" s="1786" t="s">
        <v>664</v>
      </c>
      <c r="U68" s="1787"/>
      <c r="V68" s="1787"/>
      <c r="W68" s="1787"/>
      <c r="X68" s="1787"/>
      <c r="Y68" s="1811" t="s">
        <v>648</v>
      </c>
      <c r="Z68" s="1812"/>
      <c r="AA68" s="1276"/>
      <c r="AB68" s="1276"/>
      <c r="AC68" s="1784" t="s">
        <v>162</v>
      </c>
      <c r="AD68" s="1785"/>
      <c r="AE68" s="1785"/>
      <c r="AF68" s="1782" t="s">
        <v>883</v>
      </c>
      <c r="AG68" s="1783"/>
      <c r="AH68" s="1276"/>
      <c r="AI68" s="1277"/>
      <c r="AJ68" s="1780" t="s">
        <v>167</v>
      </c>
      <c r="AK68" s="1780"/>
      <c r="AL68" s="1780"/>
      <c r="AM68" s="1780"/>
      <c r="AN68" s="1842"/>
      <c r="AO68" s="73"/>
      <c r="AP68" s="1116"/>
      <c r="AQ68" s="397"/>
      <c r="AR68" s="398"/>
      <c r="AS68" s="398"/>
      <c r="AT68" s="398"/>
      <c r="AU68" s="398"/>
      <c r="AV68" s="561"/>
      <c r="BD68" s="46"/>
      <c r="BF68" s="199"/>
      <c r="BG68" s="199"/>
      <c r="BH68" s="199"/>
      <c r="BI68" s="199"/>
      <c r="BJ68" s="199"/>
      <c r="BK68" s="199"/>
      <c r="BL68" s="199"/>
      <c r="BM68" s="199"/>
      <c r="BN68" s="199"/>
      <c r="BO68" s="199"/>
      <c r="BP68" s="199"/>
      <c r="BQ68" s="199"/>
      <c r="BR68" s="199"/>
      <c r="BS68" s="199"/>
      <c r="BT68" s="199"/>
    </row>
    <row r="69" spans="1:72" s="14" customFormat="1">
      <c r="A69" s="927"/>
      <c r="B69" s="143"/>
      <c r="C69" s="12"/>
      <c r="D69" s="109">
        <v>1</v>
      </c>
      <c r="E69" s="50">
        <f t="shared" ref="E69" si="136">D69+1</f>
        <v>2</v>
      </c>
      <c r="F69" s="50">
        <f t="shared" ref="F69" si="137">E69+1</f>
        <v>3</v>
      </c>
      <c r="G69" s="50">
        <f t="shared" ref="G69" si="138">F69+1</f>
        <v>4</v>
      </c>
      <c r="H69" s="50">
        <f t="shared" ref="H69" si="139">G69+1</f>
        <v>5</v>
      </c>
      <c r="I69" s="50">
        <f t="shared" ref="I69" si="140">H69+1</f>
        <v>6</v>
      </c>
      <c r="J69" s="109">
        <f t="shared" ref="J69" si="141">I69+1</f>
        <v>7</v>
      </c>
      <c r="K69" s="50">
        <f t="shared" ref="K69" si="142">J69+1</f>
        <v>8</v>
      </c>
      <c r="L69" s="50">
        <f t="shared" ref="L69" si="143">K69+1</f>
        <v>9</v>
      </c>
      <c r="M69" s="50">
        <f t="shared" ref="M69" si="144">L69+1</f>
        <v>10</v>
      </c>
      <c r="N69" s="50">
        <f t="shared" ref="N69" si="145">M69+1</f>
        <v>11</v>
      </c>
      <c r="O69" s="50">
        <f t="shared" ref="O69" si="146">N69+1</f>
        <v>12</v>
      </c>
      <c r="P69" s="50">
        <f t="shared" ref="P69" si="147">O69+1</f>
        <v>13</v>
      </c>
      <c r="Q69" s="110">
        <f t="shared" ref="Q69" si="148">P69+1</f>
        <v>14</v>
      </c>
      <c r="R69" s="50">
        <f t="shared" ref="R69" si="149">Q69+1</f>
        <v>15</v>
      </c>
      <c r="S69" s="50">
        <f t="shared" ref="S69" si="150">R69+1</f>
        <v>16</v>
      </c>
      <c r="T69" s="109">
        <f t="shared" ref="T69" si="151">S69+1</f>
        <v>17</v>
      </c>
      <c r="U69" s="50">
        <f t="shared" ref="U69" si="152">T69+1</f>
        <v>18</v>
      </c>
      <c r="V69" s="50">
        <f t="shared" ref="V69" si="153">U69+1</f>
        <v>19</v>
      </c>
      <c r="W69" s="50">
        <f t="shared" ref="W69" si="154">V69+1</f>
        <v>20</v>
      </c>
      <c r="X69" s="110">
        <f t="shared" ref="X69" si="155">W69+1</f>
        <v>21</v>
      </c>
      <c r="Y69" s="1005">
        <f t="shared" ref="Y69" si="156">X69+1</f>
        <v>22</v>
      </c>
      <c r="Z69" s="1007">
        <f t="shared" ref="Z69" si="157">Y69+1</f>
        <v>23</v>
      </c>
      <c r="AA69" s="50">
        <f t="shared" ref="AA69" si="158">Z69+1</f>
        <v>24</v>
      </c>
      <c r="AB69" s="110">
        <f t="shared" ref="AB69" si="159">AA69+1</f>
        <v>25</v>
      </c>
      <c r="AC69" s="50">
        <f t="shared" ref="AC69" si="160">AB69+1</f>
        <v>26</v>
      </c>
      <c r="AD69" s="50">
        <f t="shared" ref="AD69" si="161">AC69+1</f>
        <v>27</v>
      </c>
      <c r="AE69" s="50">
        <f t="shared" ref="AE69" si="162">AD69+1</f>
        <v>28</v>
      </c>
      <c r="AF69" s="1005">
        <f t="shared" ref="AF69" si="163">AE69+1</f>
        <v>29</v>
      </c>
      <c r="AG69" s="1007">
        <f t="shared" ref="AG69" si="164">AF69+1</f>
        <v>30</v>
      </c>
      <c r="AH69" s="50">
        <f t="shared" ref="AH69" si="165">AG69+1</f>
        <v>31</v>
      </c>
      <c r="AI69" s="109">
        <f>AH69+1</f>
        <v>32</v>
      </c>
      <c r="AJ69" s="50">
        <f>AI69+1</f>
        <v>33</v>
      </c>
      <c r="AK69" s="50">
        <f t="shared" ref="AK69" si="166">AJ69+1</f>
        <v>34</v>
      </c>
      <c r="AL69" s="50">
        <f t="shared" ref="AL69" si="167">AK69+1</f>
        <v>35</v>
      </c>
      <c r="AM69" s="50">
        <f t="shared" ref="AM69" si="168">AL69+1</f>
        <v>36</v>
      </c>
      <c r="AN69" s="50">
        <f t="shared" ref="AN69" si="169">AM69+1</f>
        <v>37</v>
      </c>
      <c r="AO69" s="50">
        <f t="shared" ref="AO69" si="170">AN69+1</f>
        <v>38</v>
      </c>
      <c r="AP69" s="1116"/>
      <c r="AQ69" s="397"/>
      <c r="AR69" s="398"/>
      <c r="AS69" s="398"/>
      <c r="AT69" s="398"/>
      <c r="AU69" s="398"/>
      <c r="AV69" s="561"/>
      <c r="BD69" s="46"/>
      <c r="BF69" s="199"/>
      <c r="BG69" s="199"/>
      <c r="BH69" s="199"/>
      <c r="BI69" s="199"/>
      <c r="BJ69" s="199"/>
      <c r="BK69" s="199"/>
      <c r="BL69" s="199"/>
      <c r="BM69" s="199"/>
      <c r="BN69" s="199"/>
      <c r="BO69" s="199"/>
      <c r="BP69" s="199"/>
      <c r="BQ69" s="199"/>
      <c r="BR69" s="199"/>
      <c r="BS69" s="199"/>
      <c r="BT69" s="199"/>
    </row>
    <row r="70" spans="1:72" s="14" customFormat="1" ht="169">
      <c r="A70" s="927"/>
      <c r="B70" s="143"/>
      <c r="C70" s="869" t="s">
        <v>892</v>
      </c>
      <c r="D70" s="1234" t="s">
        <v>284</v>
      </c>
      <c r="E70" s="1240" t="s">
        <v>717</v>
      </c>
      <c r="F70" s="1240" t="s">
        <v>280</v>
      </c>
      <c r="G70" s="1240" t="s">
        <v>281</v>
      </c>
      <c r="H70" s="805" t="s">
        <v>247</v>
      </c>
      <c r="I70" s="1002" t="s">
        <v>604</v>
      </c>
      <c r="J70" s="1239" t="s">
        <v>249</v>
      </c>
      <c r="K70" s="1240" t="s">
        <v>251</v>
      </c>
      <c r="L70" s="1240" t="s">
        <v>282</v>
      </c>
      <c r="M70" s="1240" t="s">
        <v>282</v>
      </c>
      <c r="N70" s="1240" t="s">
        <v>282</v>
      </c>
      <c r="O70" s="1240" t="s">
        <v>282</v>
      </c>
      <c r="P70" s="1240" t="s">
        <v>282</v>
      </c>
      <c r="Q70" s="1207" t="s">
        <v>415</v>
      </c>
      <c r="R70" s="602" t="s">
        <v>257</v>
      </c>
      <c r="S70" s="400" t="s">
        <v>258</v>
      </c>
      <c r="T70" s="1013" t="s">
        <v>710</v>
      </c>
      <c r="U70" s="1010" t="s">
        <v>283</v>
      </c>
      <c r="V70" s="1010" t="s">
        <v>279</v>
      </c>
      <c r="W70" s="1010" t="s">
        <v>261</v>
      </c>
      <c r="X70" s="1020" t="s">
        <v>262</v>
      </c>
      <c r="Y70" s="523" t="s">
        <v>995</v>
      </c>
      <c r="Z70" s="599" t="s">
        <v>996</v>
      </c>
      <c r="AA70" s="1010" t="s">
        <v>265</v>
      </c>
      <c r="AB70" s="1010" t="s">
        <v>266</v>
      </c>
      <c r="AC70" s="1239" t="s">
        <v>627</v>
      </c>
      <c r="AD70" s="1010" t="s">
        <v>268</v>
      </c>
      <c r="AE70" s="1010" t="s">
        <v>269</v>
      </c>
      <c r="AF70" s="186" t="s">
        <v>344</v>
      </c>
      <c r="AG70" s="697" t="s">
        <v>270</v>
      </c>
      <c r="AH70" s="1010" t="s">
        <v>271</v>
      </c>
      <c r="AI70" s="1239" t="s">
        <v>812</v>
      </c>
      <c r="AJ70" s="1264" t="s">
        <v>809</v>
      </c>
      <c r="AK70" s="1547" t="s">
        <v>14</v>
      </c>
      <c r="AL70" s="1235" t="s">
        <v>1</v>
      </c>
      <c r="AM70" s="1010" t="s">
        <v>810</v>
      </c>
      <c r="AN70" s="1002" t="s">
        <v>746</v>
      </c>
      <c r="AO70" s="239" t="s">
        <v>272</v>
      </c>
      <c r="AP70" s="1116"/>
      <c r="AQ70" s="1200" t="s">
        <v>632</v>
      </c>
      <c r="AR70" s="805" t="s">
        <v>357</v>
      </c>
      <c r="AS70" s="988" t="s">
        <v>273</v>
      </c>
      <c r="AT70" s="806" t="s">
        <v>567</v>
      </c>
      <c r="AU70" s="1008" t="s">
        <v>811</v>
      </c>
      <c r="AV70" s="1008" t="s">
        <v>745</v>
      </c>
      <c r="BD70" s="46"/>
      <c r="BE70" s="1149" t="s">
        <v>822</v>
      </c>
      <c r="BF70" s="199"/>
      <c r="BG70" s="199"/>
      <c r="BH70" s="199"/>
      <c r="BI70" s="199"/>
      <c r="BJ70" s="199"/>
      <c r="BK70" s="199"/>
      <c r="BL70" s="199"/>
      <c r="BM70" s="199"/>
      <c r="BN70" s="199"/>
      <c r="BO70" s="199"/>
      <c r="BP70" s="199"/>
      <c r="BQ70" s="199"/>
      <c r="BR70" s="199"/>
      <c r="BS70" s="199"/>
      <c r="BT70" s="199"/>
    </row>
    <row r="71" spans="1:72" s="14" customFormat="1">
      <c r="A71" s="936">
        <f>A54+1</f>
        <v>21</v>
      </c>
      <c r="B71" s="886">
        <f>B54+1</f>
        <v>8</v>
      </c>
      <c r="C71" s="67" t="s">
        <v>201</v>
      </c>
      <c r="D71" s="630">
        <v>95</v>
      </c>
      <c r="E71" s="642">
        <f>2*D71</f>
        <v>190</v>
      </c>
      <c r="F71" s="616">
        <f>2*102</f>
        <v>204</v>
      </c>
      <c r="G71" s="632">
        <f>F71*1.15</f>
        <v>234.6</v>
      </c>
      <c r="H71" s="620">
        <f>0.23*E71</f>
        <v>43.7</v>
      </c>
      <c r="I71" s="628">
        <f t="shared" ref="I71:I75" si="171">0.5*H71*1.1</f>
        <v>24.035000000000004</v>
      </c>
      <c r="J71" s="1273" t="s">
        <v>136</v>
      </c>
      <c r="K71" s="617">
        <f>99-67</f>
        <v>32</v>
      </c>
      <c r="L71" s="1242" t="s">
        <v>136</v>
      </c>
      <c r="M71" s="1242" t="s">
        <v>136</v>
      </c>
      <c r="N71" s="1242" t="s">
        <v>136</v>
      </c>
      <c r="O71" s="1242" t="s">
        <v>136</v>
      </c>
      <c r="P71" s="1242" t="s">
        <v>136</v>
      </c>
      <c r="Q71" s="1306">
        <f>SUM(J71:P71)</f>
        <v>32</v>
      </c>
      <c r="R71" s="617">
        <f>2*Q71</f>
        <v>64</v>
      </c>
      <c r="S71" s="617">
        <f>(2*R71)+(2*71)</f>
        <v>270</v>
      </c>
      <c r="T71" s="692">
        <v>0</v>
      </c>
      <c r="U71" s="1012">
        <v>58</v>
      </c>
      <c r="V71" s="666">
        <v>0</v>
      </c>
      <c r="W71" s="666">
        <v>0</v>
      </c>
      <c r="X71" s="1021">
        <f t="shared" ref="X71:X75" si="172">SUM(T71:W71)</f>
        <v>58</v>
      </c>
      <c r="Y71" s="1016">
        <f>2*X71</f>
        <v>116</v>
      </c>
      <c r="Z71" s="1075">
        <f>Y71+(2*71)</f>
        <v>258</v>
      </c>
      <c r="AA71" s="618">
        <f t="shared" ref="AA71:AA75" si="173">Z71-H71</f>
        <v>214.3</v>
      </c>
      <c r="AB71" s="625">
        <f t="shared" ref="AB71:AB75" si="174">Z71-I71</f>
        <v>233.965</v>
      </c>
      <c r="AC71" s="633">
        <v>95</v>
      </c>
      <c r="AD71" s="624">
        <f t="shared" ref="AD71:AD75" si="175">(33.89)+(AC71*0.2095)</f>
        <v>53.792500000000004</v>
      </c>
      <c r="AE71" s="653">
        <f>X71-U71+AD71</f>
        <v>53.792500000000004</v>
      </c>
      <c r="AF71" s="693">
        <f>2*AE71</f>
        <v>107.58500000000001</v>
      </c>
      <c r="AG71" s="693">
        <f>AF71+(23)</f>
        <v>130.58500000000001</v>
      </c>
      <c r="AH71" s="655">
        <f t="shared" ref="AH71:AH75" si="176">AG71-I71</f>
        <v>106.55000000000001</v>
      </c>
      <c r="AI71" s="1303" t="s">
        <v>765</v>
      </c>
      <c r="AJ71" s="617">
        <v>254</v>
      </c>
      <c r="AK71" s="617">
        <f>(2*AJ71)+(2*71)+(2*45)</f>
        <v>740</v>
      </c>
      <c r="AL71" s="671">
        <f t="shared" ref="AL71:AL75" si="177">S71-AK71</f>
        <v>-470</v>
      </c>
      <c r="AM71" s="623">
        <f>15+15</f>
        <v>30</v>
      </c>
      <c r="AN71" s="273">
        <f>619+(23)+AM71</f>
        <v>672</v>
      </c>
      <c r="AO71" s="274">
        <f>Z71-AN71</f>
        <v>-414</v>
      </c>
      <c r="AP71" s="1116"/>
      <c r="AQ71" s="67" t="s">
        <v>209</v>
      </c>
      <c r="AR71" s="276">
        <f>H71</f>
        <v>43.7</v>
      </c>
      <c r="AS71" s="183">
        <f>Z71</f>
        <v>258</v>
      </c>
      <c r="AT71" s="183">
        <f>AN71</f>
        <v>672</v>
      </c>
      <c r="AU71" s="733">
        <f t="shared" ref="AU71:AU75" si="178">S71-G71</f>
        <v>35.400000000000006</v>
      </c>
      <c r="AV71" s="460">
        <f>S71-AK71</f>
        <v>-470</v>
      </c>
      <c r="BD71" s="46"/>
      <c r="BE71" s="1623">
        <f>B71</f>
        <v>8</v>
      </c>
      <c r="BF71" s="199"/>
      <c r="BG71" s="199"/>
      <c r="BH71" s="1630" t="s">
        <v>105</v>
      </c>
      <c r="BI71" s="1630"/>
      <c r="BJ71" s="199"/>
      <c r="BK71" s="1630">
        <v>1</v>
      </c>
      <c r="BL71" s="1630"/>
      <c r="BM71" s="199"/>
      <c r="BN71" s="199"/>
      <c r="BO71" s="199"/>
      <c r="BP71" s="199"/>
      <c r="BQ71" s="199"/>
      <c r="BR71" s="199"/>
      <c r="BS71" s="199"/>
      <c r="BT71" s="199"/>
    </row>
    <row r="72" spans="1:72" s="348" customFormat="1">
      <c r="A72" s="937">
        <f>A71+1</f>
        <v>22</v>
      </c>
      <c r="B72" s="888">
        <f>B71+1</f>
        <v>9</v>
      </c>
      <c r="C72" s="1022" t="s">
        <v>175</v>
      </c>
      <c r="D72" s="362">
        <v>121</v>
      </c>
      <c r="E72" s="363">
        <f>2*D72</f>
        <v>242</v>
      </c>
      <c r="F72" s="347">
        <f>(2*124)</f>
        <v>248</v>
      </c>
      <c r="G72" s="272">
        <f>F72*1.15</f>
        <v>285.2</v>
      </c>
      <c r="H72" s="274">
        <f>(E72*0.23)</f>
        <v>55.660000000000004</v>
      </c>
      <c r="I72" s="274">
        <f>0.5*(H72*1.1)</f>
        <v>30.613000000000003</v>
      </c>
      <c r="J72" s="1273" t="s">
        <v>136</v>
      </c>
      <c r="K72" s="1307">
        <f>122-67</f>
        <v>55</v>
      </c>
      <c r="L72" s="1242" t="s">
        <v>136</v>
      </c>
      <c r="M72" s="862" t="s">
        <v>12</v>
      </c>
      <c r="N72" s="862" t="s">
        <v>12</v>
      </c>
      <c r="O72" s="862" t="s">
        <v>12</v>
      </c>
      <c r="P72" s="862" t="s">
        <v>12</v>
      </c>
      <c r="Q72" s="1306">
        <f>SUM(J72:P72)</f>
        <v>55</v>
      </c>
      <c r="R72" s="617">
        <f t="shared" ref="R72" si="179">2*Q72</f>
        <v>110</v>
      </c>
      <c r="S72" s="617">
        <f t="shared" ref="S72" si="180">(2*R72)+(2*71)</f>
        <v>362</v>
      </c>
      <c r="T72" s="667">
        <v>0</v>
      </c>
      <c r="U72" s="649">
        <v>62</v>
      </c>
      <c r="V72" s="666">
        <v>0</v>
      </c>
      <c r="W72" s="666">
        <v>0</v>
      </c>
      <c r="X72" s="649">
        <f>SUM(T72:W72)</f>
        <v>62</v>
      </c>
      <c r="Y72" s="1016">
        <f t="shared" ref="Y72" si="181">2*X72</f>
        <v>124</v>
      </c>
      <c r="Z72" s="1075">
        <f t="shared" ref="Z72" si="182">Y72+(2*71)</f>
        <v>266</v>
      </c>
      <c r="AA72" s="618">
        <f t="shared" ref="AA72" si="183">Z72-H72</f>
        <v>210.34</v>
      </c>
      <c r="AB72" s="625">
        <f t="shared" ref="AB72" si="184">Z72-I72</f>
        <v>235.387</v>
      </c>
      <c r="AC72" s="607">
        <f>415-294</f>
        <v>121</v>
      </c>
      <c r="AD72" s="702">
        <f>33.89+(0.2095*AC72)</f>
        <v>59.2395</v>
      </c>
      <c r="AE72" s="702">
        <f>AD72+0</f>
        <v>59.2395</v>
      </c>
      <c r="AF72" s="695">
        <f>2*AE72</f>
        <v>118.479</v>
      </c>
      <c r="AG72" s="696">
        <f>AF72+(23)</f>
        <v>141.47899999999998</v>
      </c>
      <c r="AH72" s="655">
        <f>AG72-I72</f>
        <v>110.86599999999999</v>
      </c>
      <c r="AI72" s="1303" t="s">
        <v>765</v>
      </c>
      <c r="AJ72" s="862">
        <v>254</v>
      </c>
      <c r="AK72" s="1243">
        <f>(2*AJ72)+(2*71)+(2*45)</f>
        <v>740</v>
      </c>
      <c r="AL72" s="862">
        <f>S72-AK72</f>
        <v>-378</v>
      </c>
      <c r="AM72" s="623">
        <v>15</v>
      </c>
      <c r="AN72" s="273">
        <f>619+(23)+AM72</f>
        <v>657</v>
      </c>
      <c r="AO72" s="274">
        <f>Z72-AN72</f>
        <v>-391</v>
      </c>
      <c r="AP72" s="1123"/>
      <c r="AQ72" s="344" t="s">
        <v>38</v>
      </c>
      <c r="AR72" s="276">
        <f>H72</f>
        <v>55.660000000000004</v>
      </c>
      <c r="AS72" s="183">
        <f>Z72</f>
        <v>266</v>
      </c>
      <c r="AT72" s="183">
        <f>AN72</f>
        <v>657</v>
      </c>
      <c r="AU72" s="733">
        <f t="shared" si="178"/>
        <v>76.800000000000011</v>
      </c>
      <c r="AV72" s="460">
        <f>S72-AK72</f>
        <v>-378</v>
      </c>
      <c r="BE72" s="1623">
        <f t="shared" ref="BE72:BE75" si="185">B72</f>
        <v>9</v>
      </c>
      <c r="BF72" s="1652"/>
      <c r="BG72" s="1653"/>
      <c r="BH72" s="1630" t="s">
        <v>105</v>
      </c>
      <c r="BI72" s="1630"/>
      <c r="BJ72" s="1653"/>
      <c r="BK72" s="1630">
        <v>1</v>
      </c>
      <c r="BL72" s="1630"/>
      <c r="BM72" s="1653"/>
      <c r="BN72" s="1653"/>
      <c r="BO72" s="1653"/>
      <c r="BP72" s="1653"/>
      <c r="BQ72" s="1653"/>
      <c r="BR72" s="1653"/>
      <c r="BS72" s="1653"/>
      <c r="BT72" s="1653"/>
    </row>
    <row r="73" spans="1:72" s="14" customFormat="1">
      <c r="A73" s="937">
        <f t="shared" ref="A73:A75" si="186">A72+1</f>
        <v>23</v>
      </c>
      <c r="B73" s="888">
        <f t="shared" ref="B73:B75" si="187">B72+1</f>
        <v>10</v>
      </c>
      <c r="C73" s="67" t="s">
        <v>202</v>
      </c>
      <c r="D73" s="630">
        <v>127</v>
      </c>
      <c r="E73" s="642">
        <f t="shared" ref="E73:E75" si="188">2*D73</f>
        <v>254</v>
      </c>
      <c r="F73" s="616">
        <f>2*127</f>
        <v>254</v>
      </c>
      <c r="G73" s="632">
        <f t="shared" ref="G73:G75" si="189">F73*1.15</f>
        <v>292.09999999999997</v>
      </c>
      <c r="H73" s="620">
        <f t="shared" ref="H73:H75" si="190">0.23*E73</f>
        <v>58.42</v>
      </c>
      <c r="I73" s="628">
        <f t="shared" si="171"/>
        <v>32.131</v>
      </c>
      <c r="J73" s="1273" t="s">
        <v>136</v>
      </c>
      <c r="K73" s="617">
        <f>99-41</f>
        <v>58</v>
      </c>
      <c r="L73" s="1242" t="s">
        <v>136</v>
      </c>
      <c r="M73" s="1242" t="s">
        <v>136</v>
      </c>
      <c r="N73" s="1242" t="s">
        <v>136</v>
      </c>
      <c r="O73" s="1242" t="s">
        <v>136</v>
      </c>
      <c r="P73" s="1242" t="s">
        <v>136</v>
      </c>
      <c r="Q73" s="1306">
        <f>SUM(J73:P73)</f>
        <v>58</v>
      </c>
      <c r="R73" s="617">
        <f t="shared" ref="R73:R75" si="191">2*Q73</f>
        <v>116</v>
      </c>
      <c r="S73" s="617">
        <f t="shared" ref="S73:S75" si="192">(2*R73)+(2*71)</f>
        <v>374</v>
      </c>
      <c r="T73" s="667">
        <v>0</v>
      </c>
      <c r="U73" s="1012">
        <v>62</v>
      </c>
      <c r="V73" s="666">
        <v>0</v>
      </c>
      <c r="W73" s="666">
        <v>0</v>
      </c>
      <c r="X73" s="1021">
        <f t="shared" si="172"/>
        <v>62</v>
      </c>
      <c r="Y73" s="1016">
        <f t="shared" ref="Y73:Y75" si="193">2*X73</f>
        <v>124</v>
      </c>
      <c r="Z73" s="1075">
        <f t="shared" ref="Z73:Z75" si="194">Y73+(2*71)</f>
        <v>266</v>
      </c>
      <c r="AA73" s="618">
        <f t="shared" si="173"/>
        <v>207.57999999999998</v>
      </c>
      <c r="AB73" s="625">
        <f t="shared" si="174"/>
        <v>233.869</v>
      </c>
      <c r="AC73" s="633">
        <v>127</v>
      </c>
      <c r="AD73" s="624">
        <f t="shared" si="175"/>
        <v>60.496499999999997</v>
      </c>
      <c r="AE73" s="653">
        <f t="shared" ref="AE73:AE75" si="195">X73-U73+AD73</f>
        <v>60.496499999999997</v>
      </c>
      <c r="AF73" s="694">
        <f>2*AE73</f>
        <v>120.99299999999999</v>
      </c>
      <c r="AG73" s="694">
        <f>AF73+23</f>
        <v>143.99299999999999</v>
      </c>
      <c r="AH73" s="655">
        <f t="shared" si="176"/>
        <v>111.86199999999999</v>
      </c>
      <c r="AI73" s="1303" t="s">
        <v>765</v>
      </c>
      <c r="AJ73" s="617">
        <v>254</v>
      </c>
      <c r="AK73" s="617">
        <f t="shared" ref="AK73:AK75" si="196">(2*AJ73)+(2*71)+(2*45)</f>
        <v>740</v>
      </c>
      <c r="AL73" s="671">
        <f t="shared" si="177"/>
        <v>-366</v>
      </c>
      <c r="AM73" s="623">
        <v>15</v>
      </c>
      <c r="AN73" s="273">
        <f>619+(23)+AM73</f>
        <v>657</v>
      </c>
      <c r="AO73" s="274">
        <f>Z73-AN73</f>
        <v>-391</v>
      </c>
      <c r="AP73" s="1116"/>
      <c r="AQ73" s="67" t="s">
        <v>210</v>
      </c>
      <c r="AR73" s="276">
        <f>H73</f>
        <v>58.42</v>
      </c>
      <c r="AS73" s="183">
        <f>Z73</f>
        <v>266</v>
      </c>
      <c r="AT73" s="183">
        <f t="shared" ref="AT73:AT75" si="197">AN73</f>
        <v>657</v>
      </c>
      <c r="AU73" s="733">
        <f t="shared" si="178"/>
        <v>81.900000000000034</v>
      </c>
      <c r="AV73" s="460">
        <f>S73-AK73</f>
        <v>-366</v>
      </c>
      <c r="BD73" s="46"/>
      <c r="BE73" s="1623">
        <f t="shared" si="185"/>
        <v>10</v>
      </c>
      <c r="BF73" s="199"/>
      <c r="BG73" s="199"/>
      <c r="BH73" s="1630" t="s">
        <v>105</v>
      </c>
      <c r="BI73" s="1630"/>
      <c r="BJ73" s="199"/>
      <c r="BK73" s="1630">
        <v>1</v>
      </c>
      <c r="BL73" s="1630"/>
      <c r="BM73" s="199"/>
      <c r="BN73" s="199"/>
      <c r="BO73" s="199"/>
      <c r="BP73" s="199"/>
      <c r="BQ73" s="199"/>
      <c r="BR73" s="199"/>
      <c r="BS73" s="199"/>
      <c r="BT73" s="199"/>
    </row>
    <row r="74" spans="1:72" s="14" customFormat="1">
      <c r="A74" s="937">
        <f t="shared" si="186"/>
        <v>24</v>
      </c>
      <c r="B74" s="888">
        <f t="shared" si="187"/>
        <v>11</v>
      </c>
      <c r="C74" s="67" t="s">
        <v>203</v>
      </c>
      <c r="D74" s="630">
        <v>161</v>
      </c>
      <c r="E74" s="642">
        <f t="shared" si="188"/>
        <v>322</v>
      </c>
      <c r="F74" s="616">
        <f>2*157</f>
        <v>314</v>
      </c>
      <c r="G74" s="632">
        <f t="shared" si="189"/>
        <v>361.09999999999997</v>
      </c>
      <c r="H74" s="620">
        <f t="shared" si="190"/>
        <v>74.06</v>
      </c>
      <c r="I74" s="628">
        <f t="shared" si="171"/>
        <v>40.733000000000004</v>
      </c>
      <c r="J74" s="1273" t="s">
        <v>136</v>
      </c>
      <c r="K74" s="617">
        <f>99-19</f>
        <v>80</v>
      </c>
      <c r="L74" s="1242" t="s">
        <v>136</v>
      </c>
      <c r="M74" s="1242" t="s">
        <v>136</v>
      </c>
      <c r="N74" s="1242" t="s">
        <v>136</v>
      </c>
      <c r="O74" s="1242" t="s">
        <v>136</v>
      </c>
      <c r="P74" s="1242" t="s">
        <v>136</v>
      </c>
      <c r="Q74" s="1306">
        <f>SUM(J74:P74)</f>
        <v>80</v>
      </c>
      <c r="R74" s="617">
        <f t="shared" si="191"/>
        <v>160</v>
      </c>
      <c r="S74" s="617">
        <f t="shared" si="192"/>
        <v>462</v>
      </c>
      <c r="T74" s="667">
        <v>0</v>
      </c>
      <c r="U74" s="1012">
        <v>69</v>
      </c>
      <c r="V74" s="666">
        <v>0</v>
      </c>
      <c r="W74" s="666">
        <v>0</v>
      </c>
      <c r="X74" s="1021">
        <f t="shared" si="172"/>
        <v>69</v>
      </c>
      <c r="Y74" s="1016">
        <f t="shared" si="193"/>
        <v>138</v>
      </c>
      <c r="Z74" s="1075">
        <f t="shared" si="194"/>
        <v>280</v>
      </c>
      <c r="AA74" s="618">
        <f t="shared" si="173"/>
        <v>205.94</v>
      </c>
      <c r="AB74" s="625">
        <f t="shared" si="174"/>
        <v>239.267</v>
      </c>
      <c r="AC74" s="633">
        <v>164</v>
      </c>
      <c r="AD74" s="624">
        <f t="shared" si="175"/>
        <v>68.24799999999999</v>
      </c>
      <c r="AE74" s="653">
        <f t="shared" si="195"/>
        <v>68.24799999999999</v>
      </c>
      <c r="AF74" s="694">
        <f>2*AE74</f>
        <v>136.49599999999998</v>
      </c>
      <c r="AG74" s="694">
        <f>AF74+23</f>
        <v>159.49599999999998</v>
      </c>
      <c r="AH74" s="655">
        <f t="shared" si="176"/>
        <v>118.76299999999998</v>
      </c>
      <c r="AI74" s="1303" t="s">
        <v>897</v>
      </c>
      <c r="AJ74" s="617">
        <v>60</v>
      </c>
      <c r="AK74" s="617">
        <f t="shared" si="196"/>
        <v>352</v>
      </c>
      <c r="AL74" s="671">
        <f t="shared" si="177"/>
        <v>110</v>
      </c>
      <c r="AM74" s="624">
        <f>15+15</f>
        <v>30</v>
      </c>
      <c r="AN74" s="273">
        <f>523+(23)+AM74</f>
        <v>576</v>
      </c>
      <c r="AO74" s="274">
        <f>Z74-AN74</f>
        <v>-296</v>
      </c>
      <c r="AP74" s="1116"/>
      <c r="AQ74" s="67" t="s">
        <v>211</v>
      </c>
      <c r="AR74" s="276">
        <f>H74</f>
        <v>74.06</v>
      </c>
      <c r="AS74" s="183">
        <f>Z74</f>
        <v>280</v>
      </c>
      <c r="AT74" s="183">
        <f t="shared" si="197"/>
        <v>576</v>
      </c>
      <c r="AU74" s="733">
        <f t="shared" si="178"/>
        <v>100.90000000000003</v>
      </c>
      <c r="AV74" s="460">
        <f>S74-AK74</f>
        <v>110</v>
      </c>
      <c r="BD74" s="46"/>
      <c r="BE74" s="1623">
        <f t="shared" si="185"/>
        <v>11</v>
      </c>
      <c r="BF74" s="199"/>
      <c r="BG74" s="199"/>
      <c r="BH74" s="1630" t="s">
        <v>105</v>
      </c>
      <c r="BI74" s="1630"/>
      <c r="BJ74" s="199"/>
      <c r="BK74" s="1630">
        <v>1</v>
      </c>
      <c r="BL74" s="1630"/>
      <c r="BM74" s="199"/>
      <c r="BN74" s="199"/>
      <c r="BO74" s="199"/>
      <c r="BP74" s="199"/>
      <c r="BQ74" s="199"/>
      <c r="BR74" s="199"/>
      <c r="BS74" s="199"/>
      <c r="BT74" s="199"/>
    </row>
    <row r="75" spans="1:72" s="14" customFormat="1">
      <c r="A75" s="937">
        <f t="shared" si="186"/>
        <v>25</v>
      </c>
      <c r="B75" s="888">
        <f t="shared" si="187"/>
        <v>12</v>
      </c>
      <c r="C75" s="67" t="s">
        <v>895</v>
      </c>
      <c r="D75" s="630">
        <v>175</v>
      </c>
      <c r="E75" s="642">
        <f t="shared" si="188"/>
        <v>350</v>
      </c>
      <c r="F75" s="616">
        <f>2*174</f>
        <v>348</v>
      </c>
      <c r="G75" s="632">
        <f t="shared" si="189"/>
        <v>400.2</v>
      </c>
      <c r="H75" s="620">
        <f t="shared" si="190"/>
        <v>80.5</v>
      </c>
      <c r="I75" s="628">
        <f t="shared" si="171"/>
        <v>44.275000000000006</v>
      </c>
      <c r="J75" s="1273" t="s">
        <v>136</v>
      </c>
      <c r="K75" s="617">
        <v>99</v>
      </c>
      <c r="L75" s="1242" t="s">
        <v>136</v>
      </c>
      <c r="M75" s="1242" t="s">
        <v>136</v>
      </c>
      <c r="N75" s="1242" t="s">
        <v>136</v>
      </c>
      <c r="O75" s="1242" t="s">
        <v>136</v>
      </c>
      <c r="P75" s="1242" t="s">
        <v>136</v>
      </c>
      <c r="Q75" s="1306">
        <f>SUM(J75:P75)</f>
        <v>99</v>
      </c>
      <c r="R75" s="617">
        <f t="shared" si="191"/>
        <v>198</v>
      </c>
      <c r="S75" s="617">
        <f t="shared" si="192"/>
        <v>538</v>
      </c>
      <c r="T75" s="667">
        <v>0</v>
      </c>
      <c r="U75" s="1012">
        <v>70</v>
      </c>
      <c r="V75" s="666">
        <v>0</v>
      </c>
      <c r="W75" s="666">
        <v>0</v>
      </c>
      <c r="X75" s="1021">
        <f t="shared" si="172"/>
        <v>70</v>
      </c>
      <c r="Y75" s="1016">
        <f t="shared" si="193"/>
        <v>140</v>
      </c>
      <c r="Z75" s="1075">
        <f t="shared" si="194"/>
        <v>282</v>
      </c>
      <c r="AA75" s="618">
        <f t="shared" si="173"/>
        <v>201.5</v>
      </c>
      <c r="AB75" s="625">
        <f t="shared" si="174"/>
        <v>237.72499999999999</v>
      </c>
      <c r="AC75" s="633">
        <v>168</v>
      </c>
      <c r="AD75" s="624">
        <f t="shared" si="175"/>
        <v>69.085999999999999</v>
      </c>
      <c r="AE75" s="653">
        <f t="shared" si="195"/>
        <v>69.085999999999999</v>
      </c>
      <c r="AF75" s="694">
        <f>2*AE75</f>
        <v>138.172</v>
      </c>
      <c r="AG75" s="693">
        <f>AF75+23</f>
        <v>161.172</v>
      </c>
      <c r="AH75" s="655">
        <f t="shared" si="176"/>
        <v>116.89699999999999</v>
      </c>
      <c r="AI75" s="1303" t="s">
        <v>897</v>
      </c>
      <c r="AJ75" s="617">
        <v>60</v>
      </c>
      <c r="AK75" s="617">
        <f t="shared" si="196"/>
        <v>352</v>
      </c>
      <c r="AL75" s="671">
        <f t="shared" si="177"/>
        <v>186</v>
      </c>
      <c r="AM75" s="624">
        <v>15</v>
      </c>
      <c r="AN75" s="273">
        <f>523+(23)+AM75</f>
        <v>561</v>
      </c>
      <c r="AO75" s="274">
        <f>Z75-AN75</f>
        <v>-279</v>
      </c>
      <c r="AP75" s="1116"/>
      <c r="AQ75" s="67" t="s">
        <v>712</v>
      </c>
      <c r="AR75" s="276">
        <f>H75</f>
        <v>80.5</v>
      </c>
      <c r="AS75" s="183">
        <f>Z75</f>
        <v>282</v>
      </c>
      <c r="AT75" s="183">
        <f t="shared" si="197"/>
        <v>561</v>
      </c>
      <c r="AU75" s="733">
        <f t="shared" si="178"/>
        <v>137.80000000000001</v>
      </c>
      <c r="AV75" s="460">
        <f>S75-AK75</f>
        <v>186</v>
      </c>
      <c r="BD75" s="46"/>
      <c r="BE75" s="1623">
        <f t="shared" si="185"/>
        <v>12</v>
      </c>
      <c r="BF75" s="199"/>
      <c r="BG75" s="199"/>
      <c r="BH75" s="1630" t="s">
        <v>105</v>
      </c>
      <c r="BI75" s="1630"/>
      <c r="BJ75" s="199"/>
      <c r="BK75" s="1630">
        <v>1</v>
      </c>
      <c r="BL75" s="1630"/>
      <c r="BM75" s="199"/>
      <c r="BN75" s="199"/>
      <c r="BO75" s="199"/>
      <c r="BP75" s="199"/>
      <c r="BQ75" s="199"/>
      <c r="BR75" s="199"/>
      <c r="BS75" s="199"/>
      <c r="BT75" s="199"/>
    </row>
    <row r="76" spans="1:72" s="14" customFormat="1" ht="100" customHeight="1">
      <c r="A76" s="927"/>
      <c r="B76" s="143"/>
      <c r="C76" s="1878" t="s">
        <v>893</v>
      </c>
      <c r="D76" s="1868" t="s">
        <v>986</v>
      </c>
      <c r="E76" s="1869"/>
      <c r="F76" s="1808" t="s">
        <v>894</v>
      </c>
      <c r="G76" s="1859" t="s">
        <v>902</v>
      </c>
      <c r="H76" s="1238" t="s">
        <v>345</v>
      </c>
      <c r="I76" s="1813"/>
      <c r="J76" s="1197"/>
      <c r="K76" s="1245" t="s">
        <v>346</v>
      </c>
      <c r="L76" s="902"/>
      <c r="M76" s="902"/>
      <c r="N76" s="902"/>
      <c r="O76" s="902"/>
      <c r="P76" s="902"/>
      <c r="Q76" s="1308"/>
      <c r="R76" s="145"/>
      <c r="S76" s="1883" t="s">
        <v>981</v>
      </c>
      <c r="T76" s="629"/>
      <c r="U76" s="1259" t="s">
        <v>912</v>
      </c>
      <c r="V76" s="991"/>
      <c r="W76" s="991"/>
      <c r="X76" s="640"/>
      <c r="Y76" s="258"/>
      <c r="Z76" s="1871" t="s">
        <v>975</v>
      </c>
      <c r="AA76" s="31"/>
      <c r="AB76" s="1801" t="s">
        <v>349</v>
      </c>
      <c r="AC76" s="1873" t="s">
        <v>200</v>
      </c>
      <c r="AD76" s="1309" t="s">
        <v>350</v>
      </c>
      <c r="AE76" s="640"/>
      <c r="AF76" s="31"/>
      <c r="AG76" s="1871" t="s">
        <v>975</v>
      </c>
      <c r="AH76" s="1102"/>
      <c r="AI76" s="1304"/>
      <c r="AJ76" s="1796" t="s">
        <v>1152</v>
      </c>
      <c r="AK76" s="1595"/>
      <c r="AL76" s="1596" t="s">
        <v>1199</v>
      </c>
      <c r="AM76" s="634"/>
      <c r="AN76" s="1593" t="s">
        <v>885</v>
      </c>
      <c r="AO76" s="73"/>
      <c r="AP76" s="1116"/>
      <c r="AQ76" s="397"/>
      <c r="AR76" s="398"/>
      <c r="AS76" s="398"/>
      <c r="AT76" s="398"/>
      <c r="AU76" s="398"/>
      <c r="AV76" s="561"/>
      <c r="BD76" s="46"/>
      <c r="BF76" s="199"/>
      <c r="BG76" s="199"/>
      <c r="BH76" s="199"/>
      <c r="BI76" s="199"/>
      <c r="BJ76" s="199"/>
      <c r="BK76" s="199"/>
      <c r="BL76" s="199"/>
      <c r="BM76" s="199"/>
      <c r="BN76" s="199"/>
      <c r="BO76" s="199"/>
      <c r="BP76" s="199"/>
      <c r="BQ76" s="199"/>
      <c r="BR76" s="199"/>
      <c r="BS76" s="199"/>
      <c r="BT76" s="199"/>
    </row>
    <row r="77" spans="1:72" s="14" customFormat="1">
      <c r="A77" s="927"/>
      <c r="B77" s="143"/>
      <c r="C77" s="1879"/>
      <c r="D77" s="1870"/>
      <c r="E77" s="1869"/>
      <c r="F77" s="1876"/>
      <c r="G77" s="1877"/>
      <c r="H77" s="170"/>
      <c r="I77" s="1730"/>
      <c r="J77" s="1197"/>
      <c r="K77" s="1198"/>
      <c r="L77" s="902"/>
      <c r="M77" s="902"/>
      <c r="N77" s="902"/>
      <c r="O77" s="902"/>
      <c r="P77" s="902"/>
      <c r="Q77" s="1308"/>
      <c r="R77" s="145"/>
      <c r="S77" s="1688"/>
      <c r="T77" s="629"/>
      <c r="U77" s="1195"/>
      <c r="V77" s="991"/>
      <c r="W77" s="991"/>
      <c r="X77" s="640"/>
      <c r="Y77" s="258"/>
      <c r="Z77" s="1872"/>
      <c r="AA77" s="31"/>
      <c r="AB77" s="1802"/>
      <c r="AC77" s="1874"/>
      <c r="AD77" s="1284"/>
      <c r="AE77" s="640"/>
      <c r="AF77" s="31"/>
      <c r="AG77" s="1872"/>
      <c r="AH77" s="1102"/>
      <c r="AI77" s="1102"/>
      <c r="AJ77" s="1897"/>
      <c r="AK77" s="1594"/>
      <c r="AL77" s="31"/>
      <c r="AM77" s="31"/>
      <c r="AN77" s="1593"/>
      <c r="AO77" s="73"/>
      <c r="AP77" s="1116"/>
      <c r="AQ77" s="397"/>
      <c r="AR77" s="398"/>
      <c r="AS77" s="398"/>
      <c r="AT77" s="398"/>
      <c r="AU77" s="398"/>
      <c r="AV77" s="561" t="s">
        <v>105</v>
      </c>
      <c r="BD77" s="46"/>
      <c r="BF77" s="199"/>
      <c r="BG77" s="199"/>
      <c r="BH77" s="199"/>
      <c r="BI77" s="199"/>
      <c r="BJ77" s="199"/>
      <c r="BK77" s="199"/>
      <c r="BL77" s="199"/>
      <c r="BM77" s="199"/>
      <c r="BN77" s="199"/>
      <c r="BO77" s="199"/>
      <c r="BP77" s="199"/>
      <c r="BQ77" s="199"/>
      <c r="BR77" s="199"/>
      <c r="BS77" s="199"/>
      <c r="BT77" s="199"/>
    </row>
    <row r="78" spans="1:72" s="14" customFormat="1">
      <c r="A78" s="927"/>
      <c r="B78" s="143"/>
      <c r="C78" s="1879"/>
      <c r="D78" s="1870"/>
      <c r="E78" s="1869"/>
      <c r="F78" s="1876"/>
      <c r="G78" s="1877"/>
      <c r="H78" s="170"/>
      <c r="I78" s="1730"/>
      <c r="J78" s="1197"/>
      <c r="K78" s="1198"/>
      <c r="L78" s="902"/>
      <c r="M78" s="902"/>
      <c r="N78" s="902"/>
      <c r="O78" s="902"/>
      <c r="P78" s="902"/>
      <c r="Q78" s="1308"/>
      <c r="R78" s="145"/>
      <c r="S78" s="1688"/>
      <c r="T78" s="629"/>
      <c r="U78" s="1195"/>
      <c r="V78" s="991"/>
      <c r="W78" s="991"/>
      <c r="X78" s="640"/>
      <c r="Y78" s="258"/>
      <c r="Z78" s="1872"/>
      <c r="AA78" s="31"/>
      <c r="AB78" s="1802"/>
      <c r="AC78" s="1874"/>
      <c r="AD78" s="1284"/>
      <c r="AE78" s="640"/>
      <c r="AF78" s="31"/>
      <c r="AG78" s="1872"/>
      <c r="AH78" s="1102"/>
      <c r="AI78" s="1102"/>
      <c r="AJ78" s="1897"/>
      <c r="AK78" s="1594"/>
      <c r="AL78" s="31"/>
      <c r="AM78" s="31"/>
      <c r="AN78" s="1593"/>
      <c r="AO78" s="73"/>
      <c r="AP78" s="1116"/>
      <c r="AQ78" s="397"/>
      <c r="AR78" s="398"/>
      <c r="AS78" s="398"/>
      <c r="AT78" s="398"/>
      <c r="AU78" s="398"/>
      <c r="AV78" s="561" t="s">
        <v>105</v>
      </c>
      <c r="BD78" s="46"/>
      <c r="BF78" s="199"/>
      <c r="BG78" s="199"/>
      <c r="BH78" s="199"/>
      <c r="BI78" s="199"/>
      <c r="BJ78" s="199"/>
      <c r="BK78" s="199"/>
      <c r="BL78" s="199"/>
      <c r="BM78" s="199"/>
      <c r="BN78" s="199"/>
      <c r="BO78" s="199"/>
      <c r="BP78" s="199"/>
      <c r="BQ78" s="199"/>
      <c r="BR78" s="199"/>
      <c r="BS78" s="199"/>
      <c r="BT78" s="199"/>
    </row>
    <row r="79" spans="1:72" s="14" customFormat="1">
      <c r="A79" s="927"/>
      <c r="B79" s="143"/>
      <c r="C79" s="1879"/>
      <c r="D79" s="1870"/>
      <c r="E79" s="1869"/>
      <c r="F79" s="1876"/>
      <c r="G79" s="1877"/>
      <c r="H79" s="170"/>
      <c r="I79" s="1730"/>
      <c r="J79" s="1197"/>
      <c r="K79" s="1198"/>
      <c r="L79" s="902"/>
      <c r="M79" s="902"/>
      <c r="N79" s="902"/>
      <c r="O79" s="902"/>
      <c r="P79" s="902"/>
      <c r="Q79" s="1308"/>
      <c r="R79" s="145"/>
      <c r="S79" s="1688"/>
      <c r="T79" s="629"/>
      <c r="U79" s="1195"/>
      <c r="V79" s="991"/>
      <c r="W79" s="991"/>
      <c r="X79" s="640"/>
      <c r="Y79" s="258"/>
      <c r="Z79" s="1872"/>
      <c r="AA79" s="31"/>
      <c r="AB79" s="1802"/>
      <c r="AC79" s="1874"/>
      <c r="AD79" s="1284"/>
      <c r="AE79" s="640"/>
      <c r="AF79" s="31"/>
      <c r="AG79" s="1872"/>
      <c r="AH79" s="1102"/>
      <c r="AI79" s="1102"/>
      <c r="AJ79" s="1897"/>
      <c r="AK79" s="1594"/>
      <c r="AL79" s="31"/>
      <c r="AM79" s="31"/>
      <c r="AN79" s="1593"/>
      <c r="AO79" s="73"/>
      <c r="AP79" s="1116"/>
      <c r="AQ79" s="397"/>
      <c r="AR79" s="398"/>
      <c r="AS79" s="398"/>
      <c r="AT79" s="398"/>
      <c r="AU79" s="398"/>
      <c r="AV79" s="561"/>
      <c r="BD79" s="46"/>
      <c r="BF79" s="199"/>
      <c r="BG79" s="199"/>
      <c r="BH79" s="199"/>
      <c r="BI79" s="199"/>
      <c r="BJ79" s="199"/>
      <c r="BK79" s="199"/>
      <c r="BL79" s="199"/>
      <c r="BM79" s="199"/>
      <c r="BN79" s="199"/>
      <c r="BO79" s="199"/>
      <c r="BP79" s="199"/>
      <c r="BQ79" s="199"/>
      <c r="BR79" s="199"/>
      <c r="BS79" s="199"/>
      <c r="BT79" s="199"/>
    </row>
    <row r="80" spans="1:72" s="14" customFormat="1">
      <c r="A80" s="927"/>
      <c r="B80" s="143"/>
      <c r="C80" s="1879"/>
      <c r="D80" s="1870"/>
      <c r="E80" s="1869"/>
      <c r="F80" s="1876"/>
      <c r="G80" s="1877"/>
      <c r="H80" s="170"/>
      <c r="I80" s="1730"/>
      <c r="J80" s="1197"/>
      <c r="K80" s="1198"/>
      <c r="L80" s="902"/>
      <c r="M80" s="902"/>
      <c r="N80" s="902"/>
      <c r="O80" s="902"/>
      <c r="P80" s="902"/>
      <c r="Q80" s="1308"/>
      <c r="R80" s="145"/>
      <c r="S80" s="1688"/>
      <c r="T80" s="629"/>
      <c r="U80" s="1195"/>
      <c r="V80" s="991"/>
      <c r="W80" s="991"/>
      <c r="X80" s="640"/>
      <c r="Y80" s="258"/>
      <c r="Z80" s="1872"/>
      <c r="AA80" s="31"/>
      <c r="AB80" s="1802"/>
      <c r="AC80" s="1874"/>
      <c r="AD80" s="1284"/>
      <c r="AE80" s="640"/>
      <c r="AF80" s="31"/>
      <c r="AG80" s="1872"/>
      <c r="AH80" s="1102"/>
      <c r="AI80" s="1102"/>
      <c r="AJ80" s="1897"/>
      <c r="AK80" s="1594"/>
      <c r="AL80" s="31"/>
      <c r="AM80" s="31"/>
      <c r="AN80" s="1593"/>
      <c r="AO80" s="73"/>
      <c r="AP80" s="1116"/>
      <c r="AQ80" s="397"/>
      <c r="AR80" s="398"/>
      <c r="AS80" s="398"/>
      <c r="AT80" s="398"/>
      <c r="AU80" s="398"/>
      <c r="AV80" s="561"/>
      <c r="BD80" s="46"/>
      <c r="BF80" s="199"/>
      <c r="BG80" s="199"/>
      <c r="BH80" s="199"/>
      <c r="BI80" s="199"/>
      <c r="BJ80" s="199"/>
      <c r="BK80" s="199"/>
      <c r="BL80" s="199"/>
      <c r="BM80" s="199"/>
      <c r="BN80" s="199"/>
      <c r="BO80" s="199"/>
      <c r="BP80" s="199"/>
      <c r="BQ80" s="199"/>
      <c r="BR80" s="199"/>
      <c r="BS80" s="199"/>
      <c r="BT80" s="199"/>
    </row>
    <row r="81" spans="1:72" s="14" customFormat="1">
      <c r="A81" s="927"/>
      <c r="B81" s="143"/>
      <c r="C81" s="1879"/>
      <c r="D81" s="1870"/>
      <c r="E81" s="1869"/>
      <c r="F81" s="1876"/>
      <c r="G81" s="1877"/>
      <c r="H81" s="170"/>
      <c r="I81" s="1730"/>
      <c r="J81" s="1197"/>
      <c r="K81" s="1198"/>
      <c r="L81" s="902"/>
      <c r="M81" s="902"/>
      <c r="N81" s="902"/>
      <c r="O81" s="902"/>
      <c r="P81" s="902"/>
      <c r="Q81" s="1308"/>
      <c r="R81" s="145"/>
      <c r="S81" s="1688"/>
      <c r="T81" s="629"/>
      <c r="U81" s="1195"/>
      <c r="V81" s="991"/>
      <c r="W81" s="991"/>
      <c r="X81" s="640"/>
      <c r="Y81" s="258"/>
      <c r="Z81" s="1872"/>
      <c r="AA81" s="31"/>
      <c r="AB81" s="1802"/>
      <c r="AC81" s="1874"/>
      <c r="AD81" s="1284"/>
      <c r="AE81" s="640"/>
      <c r="AF81" s="31"/>
      <c r="AG81" s="1872"/>
      <c r="AH81" s="1102"/>
      <c r="AI81" s="1102"/>
      <c r="AJ81" s="1897"/>
      <c r="AK81" s="1594"/>
      <c r="AL81" s="31"/>
      <c r="AM81" s="31"/>
      <c r="AN81" s="1593"/>
      <c r="AO81" s="73"/>
      <c r="AP81" s="1116"/>
      <c r="AQ81" s="397"/>
      <c r="AR81" s="398"/>
      <c r="AS81" s="398"/>
      <c r="AT81" s="398"/>
      <c r="AU81" s="398"/>
      <c r="AV81" s="561"/>
      <c r="BD81" s="46"/>
      <c r="BF81" s="199"/>
      <c r="BG81" s="199"/>
      <c r="BH81" s="199"/>
      <c r="BI81" s="199"/>
      <c r="BJ81" s="199"/>
      <c r="BK81" s="199"/>
      <c r="BL81" s="199"/>
      <c r="BM81" s="199"/>
      <c r="BN81" s="199"/>
      <c r="BO81" s="199"/>
      <c r="BP81" s="199"/>
      <c r="BQ81" s="199"/>
      <c r="BR81" s="199"/>
      <c r="BS81" s="199"/>
      <c r="BT81" s="199"/>
    </row>
    <row r="82" spans="1:72" s="14" customFormat="1" ht="19" customHeight="1">
      <c r="A82" s="927"/>
      <c r="B82" s="143"/>
      <c r="C82" s="1879"/>
      <c r="D82" s="1870"/>
      <c r="E82" s="1869"/>
      <c r="F82" s="1876"/>
      <c r="G82" s="1877"/>
      <c r="H82" s="170"/>
      <c r="I82" s="1730"/>
      <c r="J82" s="1197"/>
      <c r="K82" s="1198"/>
      <c r="L82" s="902"/>
      <c r="M82" s="902"/>
      <c r="N82" s="902"/>
      <c r="O82" s="902"/>
      <c r="P82" s="902"/>
      <c r="Q82" s="1308"/>
      <c r="R82" s="145"/>
      <c r="S82" s="1688"/>
      <c r="T82" s="629"/>
      <c r="U82" s="1192"/>
      <c r="V82" s="991"/>
      <c r="W82" s="991"/>
      <c r="X82" s="640"/>
      <c r="Y82" s="258"/>
      <c r="Z82" s="1872"/>
      <c r="AA82" s="31"/>
      <c r="AB82" s="1802"/>
      <c r="AC82" s="1874"/>
      <c r="AD82" s="1284"/>
      <c r="AE82" s="640"/>
      <c r="AF82" s="31"/>
      <c r="AG82" s="1872"/>
      <c r="AH82" s="1102"/>
      <c r="AI82" s="1102"/>
      <c r="AJ82" s="1897"/>
      <c r="AK82" s="1594"/>
      <c r="AL82" s="31"/>
      <c r="AM82" s="31"/>
      <c r="AN82" s="1593"/>
      <c r="AO82" s="73"/>
      <c r="AP82" s="1116"/>
      <c r="AQ82" s="397"/>
      <c r="AR82" s="398"/>
      <c r="AS82" s="398"/>
      <c r="AT82" s="398"/>
      <c r="AU82" s="398"/>
      <c r="AV82" s="561"/>
      <c r="BD82" s="46"/>
      <c r="BF82" s="199"/>
      <c r="BG82" s="199"/>
      <c r="BH82" s="199"/>
      <c r="BI82" s="199"/>
      <c r="BJ82" s="199"/>
      <c r="BK82" s="199"/>
      <c r="BL82" s="199"/>
      <c r="BM82" s="199"/>
      <c r="BN82" s="199"/>
      <c r="BO82" s="199"/>
      <c r="BP82" s="199"/>
      <c r="BQ82" s="199"/>
      <c r="BR82" s="199"/>
      <c r="BS82" s="199"/>
      <c r="BT82" s="199"/>
    </row>
    <row r="83" spans="1:72" s="14" customFormat="1" ht="26" customHeight="1">
      <c r="A83" s="927"/>
      <c r="B83" s="143"/>
      <c r="C83" s="1879"/>
      <c r="D83" s="1870"/>
      <c r="E83" s="1869"/>
      <c r="F83" s="1876"/>
      <c r="G83" s="1877"/>
      <c r="H83" s="170"/>
      <c r="I83" s="1730"/>
      <c r="J83" s="1197"/>
      <c r="K83" s="1198"/>
      <c r="L83" s="902"/>
      <c r="M83" s="902"/>
      <c r="N83" s="902"/>
      <c r="O83" s="902"/>
      <c r="P83" s="902"/>
      <c r="Q83" s="1308"/>
      <c r="R83" s="145"/>
      <c r="S83" s="1688"/>
      <c r="T83" s="629"/>
      <c r="U83" s="1192"/>
      <c r="V83" s="991"/>
      <c r="W83" s="991"/>
      <c r="X83" s="640"/>
      <c r="Y83" s="258"/>
      <c r="Z83" s="1872"/>
      <c r="AA83" s="31"/>
      <c r="AB83" s="1802"/>
      <c r="AC83" s="1874"/>
      <c r="AD83" s="1284"/>
      <c r="AE83" s="640"/>
      <c r="AF83" s="31"/>
      <c r="AG83" s="1872"/>
      <c r="AH83" s="1102"/>
      <c r="AI83" s="1102"/>
      <c r="AJ83" s="1897"/>
      <c r="AK83" s="1594"/>
      <c r="AL83" s="31"/>
      <c r="AM83" s="31"/>
      <c r="AN83" s="1593"/>
      <c r="AO83" s="73"/>
      <c r="AP83" s="1116"/>
      <c r="AQ83" s="397"/>
      <c r="AR83" s="398"/>
      <c r="AS83" s="398"/>
      <c r="AT83" s="398"/>
      <c r="AU83" s="398"/>
      <c r="AV83" s="561"/>
      <c r="BD83" s="46"/>
      <c r="BF83" s="199"/>
      <c r="BG83" s="199"/>
      <c r="BH83" s="199"/>
      <c r="BI83" s="199"/>
      <c r="BJ83" s="199"/>
      <c r="BK83" s="199"/>
      <c r="BL83" s="199"/>
      <c r="BM83" s="199"/>
      <c r="BN83" s="199"/>
      <c r="BO83" s="199"/>
      <c r="BP83" s="199"/>
      <c r="BQ83" s="199"/>
      <c r="BR83" s="199"/>
      <c r="BS83" s="199"/>
      <c r="BT83" s="199"/>
    </row>
    <row r="84" spans="1:72" s="14" customFormat="1" ht="87" customHeight="1">
      <c r="A84" s="927"/>
      <c r="B84" s="143"/>
      <c r="C84" s="1879"/>
      <c r="D84" s="1870"/>
      <c r="E84" s="1869"/>
      <c r="F84" s="1876"/>
      <c r="G84" s="1877"/>
      <c r="H84" s="170"/>
      <c r="I84" s="1730"/>
      <c r="J84" s="1197"/>
      <c r="K84" s="1198"/>
      <c r="L84" s="902"/>
      <c r="M84" s="902"/>
      <c r="N84" s="902"/>
      <c r="O84" s="902"/>
      <c r="P84" s="902"/>
      <c r="Q84" s="1308"/>
      <c r="R84" s="145"/>
      <c r="S84" s="1688"/>
      <c r="T84" s="629"/>
      <c r="U84" s="1192"/>
      <c r="V84" s="991"/>
      <c r="W84" s="991"/>
      <c r="X84" s="640"/>
      <c r="Y84" s="258"/>
      <c r="Z84" s="1872"/>
      <c r="AA84" s="31"/>
      <c r="AB84" s="1802"/>
      <c r="AC84" s="1874"/>
      <c r="AD84" s="1284"/>
      <c r="AE84" s="640"/>
      <c r="AF84" s="31"/>
      <c r="AG84" s="1872"/>
      <c r="AH84" s="168"/>
      <c r="AI84" s="1102"/>
      <c r="AJ84" s="1897"/>
      <c r="AK84" s="1594"/>
      <c r="AL84" s="31"/>
      <c r="AM84" s="31"/>
      <c r="AN84" s="1593"/>
      <c r="AO84" s="73"/>
      <c r="AP84" s="1116"/>
      <c r="AQ84" s="397"/>
      <c r="AR84" s="398"/>
      <c r="AS84" s="398"/>
      <c r="AT84" s="398"/>
      <c r="AU84" s="398"/>
      <c r="AV84" s="561"/>
      <c r="BD84" s="46"/>
      <c r="BF84" s="199"/>
      <c r="BG84" s="199"/>
      <c r="BH84" s="199"/>
      <c r="BI84" s="199"/>
      <c r="BJ84" s="199"/>
      <c r="BK84" s="199"/>
      <c r="BL84" s="199"/>
      <c r="BM84" s="199"/>
      <c r="BN84" s="199"/>
      <c r="BO84" s="199"/>
      <c r="BP84" s="199"/>
      <c r="BQ84" s="199"/>
      <c r="BR84" s="199"/>
      <c r="BS84" s="199"/>
      <c r="BT84" s="199"/>
    </row>
    <row r="85" spans="1:72" s="14" customFormat="1">
      <c r="A85" s="927"/>
      <c r="B85" s="143"/>
      <c r="C85" s="12"/>
      <c r="D85" s="12"/>
      <c r="E85" s="166"/>
      <c r="F85" s="166"/>
      <c r="G85" s="166"/>
      <c r="H85" s="167"/>
      <c r="I85" s="160"/>
      <c r="J85" s="160"/>
      <c r="K85" s="160"/>
      <c r="L85" s="160"/>
      <c r="M85" s="160"/>
      <c r="N85" s="160"/>
      <c r="O85" s="160"/>
      <c r="P85" s="160"/>
      <c r="Q85" s="160"/>
      <c r="R85" s="145"/>
      <c r="S85" s="1688"/>
      <c r="T85" s="160"/>
      <c r="U85" s="160"/>
      <c r="V85" s="160"/>
      <c r="W85" s="160"/>
      <c r="X85" s="160"/>
      <c r="Y85" s="31"/>
      <c r="Z85" s="31"/>
      <c r="AA85" s="31"/>
      <c r="AB85" s="177"/>
      <c r="AC85" s="160"/>
      <c r="AD85" s="160"/>
      <c r="AE85" s="160"/>
      <c r="AF85" s="31"/>
      <c r="AG85" s="31"/>
      <c r="AH85" s="168"/>
      <c r="AI85" s="168"/>
      <c r="AJ85" s="72"/>
      <c r="AK85" s="147"/>
      <c r="AL85" s="31"/>
      <c r="AM85" s="31"/>
      <c r="AN85" s="73"/>
      <c r="AO85" s="73"/>
      <c r="AP85" s="1116"/>
      <c r="AQ85" s="312"/>
      <c r="AR85" s="313"/>
      <c r="AS85" s="313"/>
      <c r="AT85" s="313"/>
      <c r="AU85" s="313"/>
      <c r="AV85" s="313"/>
      <c r="AW85" s="509" t="s">
        <v>105</v>
      </c>
      <c r="BD85" s="46"/>
      <c r="BF85" s="199"/>
      <c r="BG85" s="199"/>
      <c r="BH85" s="199"/>
      <c r="BI85" s="199"/>
      <c r="BJ85" s="199"/>
      <c r="BK85" s="199"/>
      <c r="BL85" s="199"/>
      <c r="BM85" s="199"/>
      <c r="BN85" s="199"/>
      <c r="BO85" s="199"/>
      <c r="BP85" s="199"/>
      <c r="BQ85" s="199"/>
      <c r="BR85" s="199"/>
      <c r="BS85" s="199"/>
      <c r="BT85" s="199"/>
    </row>
    <row r="86" spans="1:72" s="14" customFormat="1">
      <c r="A86" s="927"/>
      <c r="B86" s="428"/>
      <c r="C86" s="1814"/>
      <c r="D86" s="1815"/>
      <c r="E86" s="1815"/>
      <c r="F86" s="1815"/>
      <c r="G86" s="1815"/>
      <c r="H86" s="1815"/>
      <c r="I86" s="1815"/>
      <c r="J86" s="1815"/>
      <c r="K86" s="1815"/>
      <c r="L86" s="1815"/>
      <c r="M86" s="1815"/>
      <c r="N86" s="1815"/>
      <c r="O86" s="1815"/>
      <c r="P86" s="1815"/>
      <c r="Q86" s="1815"/>
      <c r="R86" s="1815"/>
      <c r="S86" s="1815"/>
      <c r="T86" s="1816"/>
      <c r="U86" s="1816"/>
      <c r="V86" s="1816"/>
      <c r="W86" s="1816"/>
      <c r="X86" s="1816"/>
      <c r="Y86" s="1816"/>
      <c r="Z86" s="1816"/>
      <c r="AA86" s="1816"/>
      <c r="AB86" s="1816"/>
      <c r="AC86" s="1816"/>
      <c r="AD86" s="1816"/>
      <c r="AE86" s="1816"/>
      <c r="AF86" s="1816"/>
      <c r="AG86" s="1816"/>
      <c r="AH86" s="1816"/>
      <c r="AI86" s="1816"/>
      <c r="AJ86" s="1816"/>
      <c r="AK86" s="31"/>
      <c r="AL86" s="31"/>
      <c r="AM86" s="31"/>
      <c r="AN86" s="884"/>
      <c r="AO86" s="884"/>
      <c r="AP86" s="1116"/>
      <c r="AQ86" s="883"/>
      <c r="AR86" s="398"/>
      <c r="AS86" s="398"/>
      <c r="AT86" s="398"/>
      <c r="AU86" s="398"/>
      <c r="AV86" s="398"/>
      <c r="BF86" s="199"/>
      <c r="BG86" s="199"/>
      <c r="BH86" s="199"/>
      <c r="BI86" s="199"/>
      <c r="BJ86" s="199"/>
      <c r="BK86" s="199"/>
      <c r="BL86" s="199"/>
      <c r="BM86" s="199"/>
      <c r="BN86" s="199"/>
      <c r="BO86" s="199"/>
      <c r="BP86" s="199"/>
      <c r="BQ86" s="199"/>
      <c r="BR86" s="199"/>
      <c r="BS86" s="199"/>
      <c r="BT86" s="199"/>
    </row>
    <row r="87" spans="1:72" s="180" customFormat="1" ht="43" customHeight="1">
      <c r="A87" s="934"/>
      <c r="B87" s="930" t="s">
        <v>101</v>
      </c>
      <c r="C87" s="1560" t="s">
        <v>35</v>
      </c>
      <c r="D87" s="1690" t="s">
        <v>168</v>
      </c>
      <c r="E87" s="1792"/>
      <c r="F87" s="1792"/>
      <c r="G87" s="1792"/>
      <c r="H87" s="1792"/>
      <c r="I87" s="1793"/>
      <c r="J87" s="1788" t="s">
        <v>645</v>
      </c>
      <c r="K87" s="1789"/>
      <c r="L87" s="1790"/>
      <c r="M87" s="1790"/>
      <c r="N87" s="1790"/>
      <c r="O87" s="1790"/>
      <c r="P87" s="1791"/>
      <c r="Q87" s="1790"/>
      <c r="R87" s="1684" t="s">
        <v>882</v>
      </c>
      <c r="S87" s="1779"/>
      <c r="T87" s="1786" t="s">
        <v>664</v>
      </c>
      <c r="U87" s="1787"/>
      <c r="V87" s="1787"/>
      <c r="W87" s="1787"/>
      <c r="X87" s="1787"/>
      <c r="Y87" s="1811" t="s">
        <v>648</v>
      </c>
      <c r="Z87" s="1812"/>
      <c r="AA87" s="1276"/>
      <c r="AB87" s="1276"/>
      <c r="AC87" s="1784" t="s">
        <v>162</v>
      </c>
      <c r="AD87" s="1785"/>
      <c r="AE87" s="1785"/>
      <c r="AF87" s="1782" t="s">
        <v>883</v>
      </c>
      <c r="AG87" s="1783"/>
      <c r="AH87" s="1276"/>
      <c r="AI87" s="1277"/>
      <c r="AJ87" s="1780" t="s">
        <v>167</v>
      </c>
      <c r="AK87" s="1780"/>
      <c r="AL87" s="1780"/>
      <c r="AM87" s="1780"/>
      <c r="AN87" s="1842"/>
      <c r="AO87" s="244"/>
      <c r="AP87" s="1118"/>
      <c r="AR87" s="182"/>
      <c r="AS87" s="183"/>
      <c r="AT87" s="183"/>
      <c r="AU87" s="181"/>
      <c r="BF87" s="1630"/>
      <c r="BG87" s="1630"/>
      <c r="BH87" s="1630"/>
      <c r="BI87" s="1630"/>
      <c r="BJ87" s="1630"/>
      <c r="BK87" s="1630"/>
      <c r="BL87" s="1630"/>
      <c r="BM87" s="1630"/>
      <c r="BN87" s="1630"/>
      <c r="BO87" s="1630"/>
      <c r="BP87" s="1630"/>
      <c r="BQ87" s="1630"/>
      <c r="BR87" s="1630"/>
      <c r="BS87" s="1630"/>
      <c r="BT87" s="1630"/>
    </row>
    <row r="88" spans="1:72" s="184" customFormat="1">
      <c r="A88" s="453"/>
      <c r="B88" s="34"/>
      <c r="C88" s="505"/>
      <c r="D88" s="207">
        <v>1</v>
      </c>
      <c r="E88" s="164">
        <f t="shared" ref="E88:W88" si="198">D88+1</f>
        <v>2</v>
      </c>
      <c r="F88" s="164">
        <f t="shared" si="198"/>
        <v>3</v>
      </c>
      <c r="G88" s="164">
        <f t="shared" si="198"/>
        <v>4</v>
      </c>
      <c r="H88" s="164">
        <f t="shared" si="198"/>
        <v>5</v>
      </c>
      <c r="I88" s="164">
        <f t="shared" si="198"/>
        <v>6</v>
      </c>
      <c r="J88" s="207">
        <f t="shared" si="198"/>
        <v>7</v>
      </c>
      <c r="K88" s="164">
        <f t="shared" si="198"/>
        <v>8</v>
      </c>
      <c r="L88" s="164">
        <f t="shared" si="198"/>
        <v>9</v>
      </c>
      <c r="M88" s="164">
        <f t="shared" si="198"/>
        <v>10</v>
      </c>
      <c r="N88" s="164">
        <f t="shared" si="198"/>
        <v>11</v>
      </c>
      <c r="O88" s="164">
        <f t="shared" si="198"/>
        <v>12</v>
      </c>
      <c r="P88" s="164">
        <f t="shared" si="198"/>
        <v>13</v>
      </c>
      <c r="Q88" s="164">
        <f t="shared" si="198"/>
        <v>14</v>
      </c>
      <c r="R88" s="914">
        <f t="shared" si="198"/>
        <v>15</v>
      </c>
      <c r="S88" s="915">
        <f t="shared" si="198"/>
        <v>16</v>
      </c>
      <c r="T88" s="10">
        <f t="shared" si="198"/>
        <v>17</v>
      </c>
      <c r="U88" s="10">
        <f t="shared" si="198"/>
        <v>18</v>
      </c>
      <c r="V88" s="10">
        <f t="shared" si="198"/>
        <v>19</v>
      </c>
      <c r="W88" s="10">
        <f t="shared" si="198"/>
        <v>20</v>
      </c>
      <c r="X88" s="10">
        <f t="shared" ref="X88:AC88" si="199">W88+1</f>
        <v>21</v>
      </c>
      <c r="Y88" s="914">
        <f t="shared" si="199"/>
        <v>22</v>
      </c>
      <c r="Z88" s="915">
        <f t="shared" si="199"/>
        <v>23</v>
      </c>
      <c r="AA88" s="207">
        <f t="shared" si="199"/>
        <v>24</v>
      </c>
      <c r="AB88" s="164">
        <f t="shared" si="199"/>
        <v>25</v>
      </c>
      <c r="AC88" s="207">
        <f t="shared" si="199"/>
        <v>26</v>
      </c>
      <c r="AD88" s="164">
        <f t="shared" ref="AD88:AL88" si="200">AC88+1</f>
        <v>27</v>
      </c>
      <c r="AE88" s="163">
        <f t="shared" si="200"/>
        <v>28</v>
      </c>
      <c r="AF88" s="914">
        <f>AE88+1</f>
        <v>29</v>
      </c>
      <c r="AG88" s="915">
        <f t="shared" si="200"/>
        <v>30</v>
      </c>
      <c r="AH88" s="164">
        <f t="shared" si="200"/>
        <v>31</v>
      </c>
      <c r="AI88" s="109">
        <f>AH88+1</f>
        <v>32</v>
      </c>
      <c r="AJ88" s="50">
        <f>AI88+1</f>
        <v>33</v>
      </c>
      <c r="AK88" s="164">
        <f t="shared" si="200"/>
        <v>34</v>
      </c>
      <c r="AL88" s="164">
        <f t="shared" si="200"/>
        <v>35</v>
      </c>
      <c r="AM88" s="164">
        <f t="shared" ref="AM88" si="201">AL88+1</f>
        <v>36</v>
      </c>
      <c r="AN88" s="163">
        <f t="shared" ref="AN88" si="202">AM88+1</f>
        <v>37</v>
      </c>
      <c r="AO88" s="164">
        <f t="shared" ref="AO88" si="203">AN88+1</f>
        <v>38</v>
      </c>
      <c r="AP88" s="1124"/>
      <c r="AR88" s="10"/>
      <c r="AS88" s="10"/>
      <c r="AT88" s="10"/>
      <c r="AU88" s="97"/>
      <c r="AV88" s="10"/>
      <c r="BF88" s="453"/>
      <c r="BG88" s="453"/>
      <c r="BH88" s="453"/>
      <c r="BI88" s="453"/>
      <c r="BJ88" s="453"/>
      <c r="BK88" s="453"/>
      <c r="BL88" s="453"/>
      <c r="BM88" s="453"/>
      <c r="BN88" s="453"/>
      <c r="BO88" s="453"/>
      <c r="BP88" s="453"/>
      <c r="BQ88" s="453"/>
      <c r="BR88" s="453"/>
      <c r="BS88" s="453"/>
      <c r="BT88" s="453"/>
    </row>
    <row r="89" spans="1:72" ht="123" customHeight="1">
      <c r="C89" s="1311" t="s">
        <v>901</v>
      </c>
      <c r="D89" s="1234" t="s">
        <v>284</v>
      </c>
      <c r="E89" s="1235" t="s">
        <v>285</v>
      </c>
      <c r="F89" s="1235" t="s">
        <v>286</v>
      </c>
      <c r="G89" s="1240" t="s">
        <v>234</v>
      </c>
      <c r="H89" s="805" t="s">
        <v>247</v>
      </c>
      <c r="I89" s="1002" t="s">
        <v>604</v>
      </c>
      <c r="J89" s="1266" t="s">
        <v>905</v>
      </c>
      <c r="K89" s="1312" t="s">
        <v>906</v>
      </c>
      <c r="L89" s="1240" t="s">
        <v>287</v>
      </c>
      <c r="M89" s="1207" t="s">
        <v>25</v>
      </c>
      <c r="N89" s="1240" t="s">
        <v>275</v>
      </c>
      <c r="O89" s="1240" t="s">
        <v>288</v>
      </c>
      <c r="P89" s="1240" t="s">
        <v>289</v>
      </c>
      <c r="Q89" s="1207" t="s">
        <v>415</v>
      </c>
      <c r="R89" s="602" t="s">
        <v>257</v>
      </c>
      <c r="S89" s="400" t="s">
        <v>363</v>
      </c>
      <c r="T89" s="1010" t="s">
        <v>290</v>
      </c>
      <c r="U89" s="1010" t="s">
        <v>291</v>
      </c>
      <c r="V89" s="1010" t="s">
        <v>292</v>
      </c>
      <c r="W89" s="1010" t="s">
        <v>293</v>
      </c>
      <c r="X89" s="872" t="s">
        <v>262</v>
      </c>
      <c r="Y89" s="523" t="s">
        <v>995</v>
      </c>
      <c r="Z89" s="599" t="s">
        <v>996</v>
      </c>
      <c r="AA89" s="1010" t="s">
        <v>265</v>
      </c>
      <c r="AB89" s="1010" t="s">
        <v>266</v>
      </c>
      <c r="AC89" s="1239" t="s">
        <v>627</v>
      </c>
      <c r="AD89" s="1010" t="s">
        <v>268</v>
      </c>
      <c r="AE89" s="1010" t="s">
        <v>269</v>
      </c>
      <c r="AF89" s="186" t="s">
        <v>344</v>
      </c>
      <c r="AG89" s="187" t="s">
        <v>270</v>
      </c>
      <c r="AH89" s="1010" t="s">
        <v>294</v>
      </c>
      <c r="AI89" s="1266" t="s">
        <v>812</v>
      </c>
      <c r="AJ89" s="1267" t="s">
        <v>809</v>
      </c>
      <c r="AK89" s="1546" t="s">
        <v>14</v>
      </c>
      <c r="AL89" s="1269" t="s">
        <v>295</v>
      </c>
      <c r="AM89" s="1010" t="s">
        <v>810</v>
      </c>
      <c r="AN89" s="1002" t="s">
        <v>746</v>
      </c>
      <c r="AO89" s="266" t="s">
        <v>272</v>
      </c>
      <c r="AQ89" s="409"/>
      <c r="AR89" s="805" t="s">
        <v>357</v>
      </c>
      <c r="AS89" s="988" t="s">
        <v>273</v>
      </c>
      <c r="AT89" s="806" t="s">
        <v>567</v>
      </c>
      <c r="AU89" s="1008" t="s">
        <v>811</v>
      </c>
      <c r="AV89" s="1008" t="s">
        <v>745</v>
      </c>
      <c r="BB89" s="19"/>
      <c r="BC89" s="17"/>
      <c r="BD89" s="44"/>
      <c r="BE89" s="1149" t="s">
        <v>822</v>
      </c>
      <c r="BF89" s="40"/>
    </row>
    <row r="90" spans="1:72" s="298" customFormat="1">
      <c r="A90" s="896">
        <f>A75+1</f>
        <v>26</v>
      </c>
      <c r="B90" s="878">
        <f>B52+1</f>
        <v>14</v>
      </c>
      <c r="C90" s="344" t="s">
        <v>176</v>
      </c>
      <c r="D90" s="607">
        <v>149</v>
      </c>
      <c r="E90" s="862">
        <f>2*D90</f>
        <v>298</v>
      </c>
      <c r="F90" s="862">
        <f>(2*135)</f>
        <v>270</v>
      </c>
      <c r="G90" s="656">
        <f t="shared" ref="G90:G94" si="204">F90*1.15</f>
        <v>310.5</v>
      </c>
      <c r="H90" s="274">
        <f t="shared" ref="H90:H94" si="205">(E90*0.23)</f>
        <v>68.540000000000006</v>
      </c>
      <c r="I90" s="273">
        <f t="shared" ref="I90:I94" si="206">0.5*(H90*1.1)</f>
        <v>37.69700000000001</v>
      </c>
      <c r="J90" s="673" t="s">
        <v>13</v>
      </c>
      <c r="K90" s="673" t="s">
        <v>13</v>
      </c>
      <c r="L90" s="656">
        <f>98-41</f>
        <v>57</v>
      </c>
      <c r="M90" s="671" t="s">
        <v>13</v>
      </c>
      <c r="N90" s="671" t="s">
        <v>13</v>
      </c>
      <c r="O90" s="671" t="s">
        <v>13</v>
      </c>
      <c r="P90" s="671" t="s">
        <v>13</v>
      </c>
      <c r="Q90" s="656">
        <f>SUM(J90:P90)</f>
        <v>57</v>
      </c>
      <c r="R90" s="365">
        <f t="shared" ref="R90:R94" si="207">2*Q90</f>
        <v>114</v>
      </c>
      <c r="S90" s="436">
        <f t="shared" ref="S90:S94" si="208">R90+(2*71)</f>
        <v>256</v>
      </c>
      <c r="T90" s="649" t="s">
        <v>12</v>
      </c>
      <c r="U90" s="624">
        <v>66</v>
      </c>
      <c r="V90" s="649" t="s">
        <v>12</v>
      </c>
      <c r="W90" s="649" t="s">
        <v>12</v>
      </c>
      <c r="X90" s="649">
        <f t="shared" ref="X90:X94" si="209">SUM(T90:W90)</f>
        <v>66</v>
      </c>
      <c r="Y90" s="524">
        <f>2*X90</f>
        <v>132</v>
      </c>
      <c r="Z90" s="527">
        <f t="shared" ref="Z90:Z94" si="210">Y90+(23)</f>
        <v>155</v>
      </c>
      <c r="AA90" s="624">
        <f t="shared" ref="AA90:AA94" si="211">Z90-H90</f>
        <v>86.46</v>
      </c>
      <c r="AB90" s="653">
        <f t="shared" ref="AB90:AB94" si="212">Z90-I90</f>
        <v>117.303</v>
      </c>
      <c r="AC90" s="607">
        <f>(199-48)</f>
        <v>151</v>
      </c>
      <c r="AD90" s="702">
        <f t="shared" ref="AD90:AD94" si="213">33.89+(0.2095*AC90)</f>
        <v>65.524500000000003</v>
      </c>
      <c r="AE90" s="624">
        <f t="shared" ref="AE90:AE91" si="214">X90-U90+AD90</f>
        <v>65.524500000000003</v>
      </c>
      <c r="AF90" s="281">
        <f t="shared" ref="AF90:AF94" si="215">2*AE90</f>
        <v>131.04900000000001</v>
      </c>
      <c r="AG90" s="282">
        <f t="shared" ref="AG90:AG94" si="216">AF90+(23)</f>
        <v>154.04900000000001</v>
      </c>
      <c r="AH90" s="655">
        <f t="shared" ref="AH90:AH94" si="217">AG90-I90</f>
        <v>116.352</v>
      </c>
      <c r="AI90" s="1263" t="s">
        <v>908</v>
      </c>
      <c r="AJ90" s="673">
        <v>255</v>
      </c>
      <c r="AK90" s="1262">
        <f t="shared" ref="AK90:AK94" si="218">(2*AJ90)+(2*71)+(2*45)</f>
        <v>742</v>
      </c>
      <c r="AL90" s="969">
        <f t="shared" ref="AL90:AL94" si="219">S90-AK90</f>
        <v>-486</v>
      </c>
      <c r="AM90" s="1030" t="s">
        <v>758</v>
      </c>
      <c r="AN90" s="273">
        <f>466+(23)</f>
        <v>489</v>
      </c>
      <c r="AO90" s="274">
        <f t="shared" ref="AO90:AO93" si="220">Z90-AN90</f>
        <v>-334</v>
      </c>
      <c r="AP90" s="1118"/>
      <c r="AQ90" s="344" t="s">
        <v>39</v>
      </c>
      <c r="AR90" s="276">
        <f>H90</f>
        <v>68.540000000000006</v>
      </c>
      <c r="AS90" s="183">
        <f>Z90</f>
        <v>155</v>
      </c>
      <c r="AT90" s="183">
        <f>AN90</f>
        <v>489</v>
      </c>
      <c r="AU90" s="733">
        <f t="shared" ref="AU90:AU94" si="221">S90-G90</f>
        <v>-54.5</v>
      </c>
      <c r="AV90" s="460">
        <f>S90-AK90</f>
        <v>-486</v>
      </c>
      <c r="BB90" s="270"/>
      <c r="BC90" s="276"/>
      <c r="BD90" s="276"/>
      <c r="BE90" s="1621">
        <f>B90</f>
        <v>14</v>
      </c>
      <c r="BF90" s="317"/>
      <c r="BG90" s="299"/>
      <c r="BH90" s="299"/>
      <c r="BI90" s="299"/>
      <c r="BJ90" s="299">
        <v>1</v>
      </c>
      <c r="BK90" s="299"/>
      <c r="BL90" s="299"/>
      <c r="BM90" s="299"/>
      <c r="BN90" s="299"/>
      <c r="BO90" s="299"/>
      <c r="BP90" s="299"/>
      <c r="BQ90" s="299"/>
      <c r="BR90" s="299"/>
      <c r="BS90" s="299"/>
      <c r="BT90" s="299"/>
    </row>
    <row r="91" spans="1:72" s="348" customFormat="1">
      <c r="A91" s="937">
        <f>A90+1</f>
        <v>27</v>
      </c>
      <c r="B91" s="878">
        <f>B90+1</f>
        <v>15</v>
      </c>
      <c r="C91" s="344" t="s">
        <v>89</v>
      </c>
      <c r="D91" s="607">
        <v>145</v>
      </c>
      <c r="E91" s="862">
        <f>2*D91</f>
        <v>290</v>
      </c>
      <c r="F91" s="862">
        <f>2*137</f>
        <v>274</v>
      </c>
      <c r="G91" s="656">
        <f t="shared" si="204"/>
        <v>315.09999999999997</v>
      </c>
      <c r="H91" s="274">
        <f t="shared" si="205"/>
        <v>66.7</v>
      </c>
      <c r="I91" s="273">
        <f t="shared" si="206"/>
        <v>36.685000000000002</v>
      </c>
      <c r="J91" s="969" t="s">
        <v>12</v>
      </c>
      <c r="K91" s="969" t="s">
        <v>12</v>
      </c>
      <c r="L91" s="650">
        <f>144-67</f>
        <v>77</v>
      </c>
      <c r="M91" s="862" t="s">
        <v>12</v>
      </c>
      <c r="N91" s="862" t="s">
        <v>12</v>
      </c>
      <c r="O91" s="862" t="s">
        <v>12</v>
      </c>
      <c r="P91" s="862" t="s">
        <v>12</v>
      </c>
      <c r="Q91" s="650">
        <f>SUM(J91:P91)</f>
        <v>77</v>
      </c>
      <c r="R91" s="365">
        <f t="shared" si="207"/>
        <v>154</v>
      </c>
      <c r="S91" s="436">
        <f t="shared" si="208"/>
        <v>296</v>
      </c>
      <c r="T91" s="649" t="s">
        <v>12</v>
      </c>
      <c r="U91" s="649">
        <v>68</v>
      </c>
      <c r="V91" s="649" t="s">
        <v>12</v>
      </c>
      <c r="W91" s="649" t="s">
        <v>12</v>
      </c>
      <c r="X91" s="649">
        <f t="shared" si="209"/>
        <v>68</v>
      </c>
      <c r="Y91" s="528">
        <f>2*X91</f>
        <v>136</v>
      </c>
      <c r="Z91" s="527">
        <f t="shared" si="210"/>
        <v>159</v>
      </c>
      <c r="AA91" s="699">
        <f t="shared" si="211"/>
        <v>92.3</v>
      </c>
      <c r="AB91" s="700">
        <f t="shared" si="212"/>
        <v>122.315</v>
      </c>
      <c r="AC91" s="711">
        <f>232-78</f>
        <v>154</v>
      </c>
      <c r="AD91" s="702">
        <f t="shared" si="213"/>
        <v>66.152999999999992</v>
      </c>
      <c r="AE91" s="624">
        <f t="shared" si="214"/>
        <v>66.152999999999992</v>
      </c>
      <c r="AF91" s="279">
        <f t="shared" si="215"/>
        <v>132.30599999999998</v>
      </c>
      <c r="AG91" s="282">
        <f t="shared" si="216"/>
        <v>155.30599999999998</v>
      </c>
      <c r="AH91" s="699">
        <f t="shared" si="217"/>
        <v>118.62099999999998</v>
      </c>
      <c r="AI91" s="1263" t="s">
        <v>908</v>
      </c>
      <c r="AJ91" s="969">
        <v>255</v>
      </c>
      <c r="AK91" s="1262">
        <f t="shared" si="218"/>
        <v>742</v>
      </c>
      <c r="AL91" s="969">
        <f t="shared" si="219"/>
        <v>-446</v>
      </c>
      <c r="AM91" s="623">
        <f>15+15</f>
        <v>30</v>
      </c>
      <c r="AN91" s="273">
        <f>466+(23)+AM91</f>
        <v>519</v>
      </c>
      <c r="AO91" s="274">
        <f t="shared" si="220"/>
        <v>-360</v>
      </c>
      <c r="AP91" s="1125"/>
      <c r="AQ91" s="344" t="s">
        <v>40</v>
      </c>
      <c r="AR91" s="276">
        <f>H91</f>
        <v>66.7</v>
      </c>
      <c r="AS91" s="183">
        <f>Z91</f>
        <v>159</v>
      </c>
      <c r="AT91" s="183">
        <f>AN91</f>
        <v>519</v>
      </c>
      <c r="AU91" s="733">
        <f t="shared" si="221"/>
        <v>-19.099999999999966</v>
      </c>
      <c r="AV91" s="460">
        <f>S91-AK91</f>
        <v>-446</v>
      </c>
      <c r="BE91" s="1621">
        <f t="shared" ref="BE91:BE94" si="222">B91</f>
        <v>15</v>
      </c>
      <c r="BF91" s="1653"/>
      <c r="BG91" s="1653"/>
      <c r="BH91" s="1653"/>
      <c r="BI91" s="1653"/>
      <c r="BJ91" s="299">
        <v>1</v>
      </c>
      <c r="BK91" s="1653"/>
      <c r="BL91" s="1653"/>
      <c r="BM91" s="1653"/>
      <c r="BN91" s="1653"/>
      <c r="BO91" s="1653"/>
      <c r="BP91" s="1653"/>
      <c r="BQ91" s="1653"/>
      <c r="BR91" s="1653"/>
      <c r="BS91" s="1653"/>
      <c r="BT91" s="1653"/>
    </row>
    <row r="92" spans="1:72" s="298" customFormat="1">
      <c r="A92" s="937">
        <f t="shared" ref="A92:A94" si="223">A91+1</f>
        <v>28</v>
      </c>
      <c r="B92" s="878">
        <f>B91+1</f>
        <v>16</v>
      </c>
      <c r="C92" s="344" t="s">
        <v>410</v>
      </c>
      <c r="D92" s="607">
        <v>189</v>
      </c>
      <c r="E92" s="862">
        <f>2*D92</f>
        <v>378</v>
      </c>
      <c r="F92" s="862">
        <f>2*181</f>
        <v>362</v>
      </c>
      <c r="G92" s="656">
        <f t="shared" si="204"/>
        <v>416.29999999999995</v>
      </c>
      <c r="H92" s="274">
        <f t="shared" si="205"/>
        <v>86.94</v>
      </c>
      <c r="I92" s="273">
        <f t="shared" si="206"/>
        <v>47.817</v>
      </c>
      <c r="J92" s="969" t="s">
        <v>12</v>
      </c>
      <c r="K92" s="969" t="s">
        <v>12</v>
      </c>
      <c r="L92" s="671">
        <f>98-19</f>
        <v>79</v>
      </c>
      <c r="M92" s="862" t="s">
        <v>12</v>
      </c>
      <c r="N92" s="862" t="s">
        <v>12</v>
      </c>
      <c r="O92" s="862" t="s">
        <v>12</v>
      </c>
      <c r="P92" s="862" t="s">
        <v>12</v>
      </c>
      <c r="Q92" s="671">
        <f>SUM(J92:P92)</f>
        <v>79</v>
      </c>
      <c r="R92" s="365">
        <f t="shared" si="207"/>
        <v>158</v>
      </c>
      <c r="S92" s="436">
        <f t="shared" si="208"/>
        <v>300</v>
      </c>
      <c r="T92" s="639" t="s">
        <v>13</v>
      </c>
      <c r="U92" s="624">
        <v>74</v>
      </c>
      <c r="V92" s="639" t="s">
        <v>13</v>
      </c>
      <c r="W92" s="639" t="s">
        <v>13</v>
      </c>
      <c r="X92" s="649">
        <f t="shared" si="209"/>
        <v>74</v>
      </c>
      <c r="Y92" s="524">
        <f>2*X92</f>
        <v>148</v>
      </c>
      <c r="Z92" s="527">
        <f t="shared" si="210"/>
        <v>171</v>
      </c>
      <c r="AA92" s="655">
        <f t="shared" si="211"/>
        <v>84.06</v>
      </c>
      <c r="AB92" s="624">
        <f t="shared" si="212"/>
        <v>123.18299999999999</v>
      </c>
      <c r="AC92" s="607">
        <v>192</v>
      </c>
      <c r="AD92" s="702">
        <f t="shared" si="213"/>
        <v>74.114000000000004</v>
      </c>
      <c r="AE92" s="624">
        <f>X92-U92+AD92</f>
        <v>74.114000000000004</v>
      </c>
      <c r="AF92" s="281">
        <f t="shared" si="215"/>
        <v>148.22800000000001</v>
      </c>
      <c r="AG92" s="444">
        <f t="shared" si="216"/>
        <v>171.22800000000001</v>
      </c>
      <c r="AH92" s="655">
        <f t="shared" si="217"/>
        <v>123.411</v>
      </c>
      <c r="AI92" s="1263" t="s">
        <v>896</v>
      </c>
      <c r="AJ92" s="673">
        <v>60</v>
      </c>
      <c r="AK92" s="1262">
        <f t="shared" si="218"/>
        <v>352</v>
      </c>
      <c r="AL92" s="969">
        <f t="shared" si="219"/>
        <v>-52</v>
      </c>
      <c r="AM92" s="623">
        <f>15</f>
        <v>15</v>
      </c>
      <c r="AN92" s="273">
        <f>523+(23)+AM92</f>
        <v>561</v>
      </c>
      <c r="AO92" s="274">
        <f t="shared" si="220"/>
        <v>-390</v>
      </c>
      <c r="AP92" s="1118"/>
      <c r="AQ92" s="344" t="s">
        <v>409</v>
      </c>
      <c r="AR92" s="276">
        <f>H92</f>
        <v>86.94</v>
      </c>
      <c r="AS92" s="183">
        <f>Z92</f>
        <v>171</v>
      </c>
      <c r="AT92" s="183">
        <f>AN92</f>
        <v>561</v>
      </c>
      <c r="AU92" s="733">
        <f t="shared" si="221"/>
        <v>-116.29999999999995</v>
      </c>
      <c r="AV92" s="460">
        <f>S92-AK92</f>
        <v>-52</v>
      </c>
      <c r="BB92" s="270"/>
      <c r="BC92" s="276"/>
      <c r="BD92" s="276"/>
      <c r="BE92" s="1621">
        <f t="shared" si="222"/>
        <v>16</v>
      </c>
      <c r="BF92" s="317"/>
      <c r="BG92" s="299"/>
      <c r="BH92" s="299"/>
      <c r="BI92" s="299"/>
      <c r="BJ92" s="299">
        <v>1</v>
      </c>
      <c r="BK92" s="299"/>
      <c r="BL92" s="299"/>
      <c r="BM92" s="299"/>
      <c r="BN92" s="299"/>
      <c r="BO92" s="299"/>
      <c r="BP92" s="299"/>
      <c r="BQ92" s="299"/>
      <c r="BR92" s="299"/>
      <c r="BS92" s="299"/>
      <c r="BT92" s="299"/>
    </row>
    <row r="93" spans="1:72" s="180" customFormat="1">
      <c r="A93" s="937">
        <f t="shared" si="223"/>
        <v>29</v>
      </c>
      <c r="B93" s="878">
        <f>B92+1</f>
        <v>17</v>
      </c>
      <c r="C93" s="344" t="s">
        <v>177</v>
      </c>
      <c r="D93" s="608">
        <v>176</v>
      </c>
      <c r="E93" s="862">
        <f>2*D93</f>
        <v>352</v>
      </c>
      <c r="F93" s="739">
        <f>(2*192)</f>
        <v>384</v>
      </c>
      <c r="G93" s="656">
        <f t="shared" si="204"/>
        <v>441.59999999999997</v>
      </c>
      <c r="H93" s="274">
        <f t="shared" si="205"/>
        <v>80.960000000000008</v>
      </c>
      <c r="I93" s="273">
        <f t="shared" si="206"/>
        <v>44.528000000000006</v>
      </c>
      <c r="J93" s="673" t="s">
        <v>13</v>
      </c>
      <c r="K93" s="673" t="s">
        <v>13</v>
      </c>
      <c r="L93" s="656">
        <f>144-41</f>
        <v>103</v>
      </c>
      <c r="M93" s="671" t="s">
        <v>13</v>
      </c>
      <c r="N93" s="671" t="s">
        <v>13</v>
      </c>
      <c r="O93" s="671" t="s">
        <v>13</v>
      </c>
      <c r="P93" s="671" t="s">
        <v>13</v>
      </c>
      <c r="Q93" s="656">
        <f>SUM(J93:P93)</f>
        <v>103</v>
      </c>
      <c r="R93" s="365">
        <f t="shared" si="207"/>
        <v>206</v>
      </c>
      <c r="S93" s="436">
        <f t="shared" si="208"/>
        <v>348</v>
      </c>
      <c r="T93" s="639" t="s">
        <v>13</v>
      </c>
      <c r="U93" s="624">
        <v>71</v>
      </c>
      <c r="V93" s="639" t="s">
        <v>13</v>
      </c>
      <c r="W93" s="639" t="s">
        <v>13</v>
      </c>
      <c r="X93" s="649">
        <f t="shared" si="209"/>
        <v>71</v>
      </c>
      <c r="Y93" s="524">
        <f>2*X93</f>
        <v>142</v>
      </c>
      <c r="Z93" s="527">
        <f t="shared" si="210"/>
        <v>165</v>
      </c>
      <c r="AA93" s="623">
        <f t="shared" si="211"/>
        <v>84.039999999999992</v>
      </c>
      <c r="AB93" s="653">
        <f t="shared" si="212"/>
        <v>120.47199999999999</v>
      </c>
      <c r="AC93" s="607">
        <v>195</v>
      </c>
      <c r="AD93" s="702">
        <f t="shared" si="213"/>
        <v>74.742500000000007</v>
      </c>
      <c r="AE93" s="623">
        <f>X93-U93+AD93</f>
        <v>74.742500000000007</v>
      </c>
      <c r="AF93" s="281">
        <f t="shared" si="215"/>
        <v>149.48500000000001</v>
      </c>
      <c r="AG93" s="444">
        <f t="shared" si="216"/>
        <v>172.48500000000001</v>
      </c>
      <c r="AH93" s="701">
        <f t="shared" si="217"/>
        <v>127.95700000000001</v>
      </c>
      <c r="AI93" s="1263" t="s">
        <v>908</v>
      </c>
      <c r="AJ93" s="673">
        <v>255</v>
      </c>
      <c r="AK93" s="1262">
        <f t="shared" si="218"/>
        <v>742</v>
      </c>
      <c r="AL93" s="969">
        <f t="shared" si="219"/>
        <v>-394</v>
      </c>
      <c r="AM93" s="623">
        <f>15</f>
        <v>15</v>
      </c>
      <c r="AN93" s="273">
        <f>466+(23)+AM93</f>
        <v>504</v>
      </c>
      <c r="AO93" s="274">
        <f t="shared" si="220"/>
        <v>-339</v>
      </c>
      <c r="AP93" s="1118"/>
      <c r="AQ93" s="367" t="s">
        <v>41</v>
      </c>
      <c r="AR93" s="276">
        <f>H93</f>
        <v>80.960000000000008</v>
      </c>
      <c r="AS93" s="183">
        <f>Z93</f>
        <v>165</v>
      </c>
      <c r="AT93" s="183">
        <f>AN93</f>
        <v>504</v>
      </c>
      <c r="AU93" s="733">
        <f t="shared" si="221"/>
        <v>-93.599999999999966</v>
      </c>
      <c r="AV93" s="460">
        <f>S93-AK93</f>
        <v>-394</v>
      </c>
      <c r="AW93" s="460"/>
      <c r="BB93" s="275"/>
      <c r="BC93" s="183"/>
      <c r="BD93" s="183"/>
      <c r="BE93" s="1621">
        <f t="shared" si="222"/>
        <v>17</v>
      </c>
      <c r="BF93" s="278"/>
      <c r="BG93" s="1630"/>
      <c r="BH93" s="1630"/>
      <c r="BI93" s="1630"/>
      <c r="BJ93" s="299">
        <v>1</v>
      </c>
      <c r="BK93" s="1630"/>
      <c r="BL93" s="1630"/>
      <c r="BM93" s="1630"/>
      <c r="BN93" s="1630"/>
      <c r="BO93" s="1630"/>
      <c r="BP93" s="1630"/>
      <c r="BQ93" s="1630"/>
      <c r="BR93" s="1630"/>
      <c r="BS93" s="1630"/>
      <c r="BT93" s="1630"/>
    </row>
    <row r="94" spans="1:72" s="180" customFormat="1">
      <c r="A94" s="937">
        <f t="shared" si="223"/>
        <v>30</v>
      </c>
      <c r="B94" s="878">
        <f>B93+1</f>
        <v>18</v>
      </c>
      <c r="C94" s="344" t="s">
        <v>898</v>
      </c>
      <c r="D94" s="608">
        <v>187</v>
      </c>
      <c r="E94" s="739">
        <f>(2*D94)</f>
        <v>374</v>
      </c>
      <c r="F94" s="739">
        <f>(2*190)</f>
        <v>380</v>
      </c>
      <c r="G94" s="656">
        <f t="shared" si="204"/>
        <v>436.99999999999994</v>
      </c>
      <c r="H94" s="274">
        <f t="shared" si="205"/>
        <v>86.02000000000001</v>
      </c>
      <c r="I94" s="273">
        <f t="shared" si="206"/>
        <v>47.311000000000007</v>
      </c>
      <c r="J94" s="673" t="s">
        <v>13</v>
      </c>
      <c r="K94" s="673" t="s">
        <v>13</v>
      </c>
      <c r="L94" s="671">
        <v>98</v>
      </c>
      <c r="M94" s="671" t="s">
        <v>13</v>
      </c>
      <c r="N94" s="671" t="s">
        <v>13</v>
      </c>
      <c r="O94" s="671" t="s">
        <v>13</v>
      </c>
      <c r="P94" s="671" t="s">
        <v>13</v>
      </c>
      <c r="Q94" s="671">
        <f>SUM(J94:P94)</f>
        <v>98</v>
      </c>
      <c r="R94" s="365">
        <f t="shared" si="207"/>
        <v>196</v>
      </c>
      <c r="S94" s="436">
        <f t="shared" si="208"/>
        <v>338</v>
      </c>
      <c r="T94" s="647" t="s">
        <v>136</v>
      </c>
      <c r="U94" s="624">
        <v>74</v>
      </c>
      <c r="V94" s="647" t="s">
        <v>136</v>
      </c>
      <c r="W94" s="647" t="s">
        <v>136</v>
      </c>
      <c r="X94" s="649">
        <f t="shared" si="209"/>
        <v>74</v>
      </c>
      <c r="Y94" s="524">
        <f>2*X94</f>
        <v>148</v>
      </c>
      <c r="Z94" s="527">
        <f t="shared" si="210"/>
        <v>171</v>
      </c>
      <c r="AA94" s="701">
        <f t="shared" si="211"/>
        <v>84.97999999999999</v>
      </c>
      <c r="AB94" s="624">
        <f t="shared" si="212"/>
        <v>123.68899999999999</v>
      </c>
      <c r="AC94" s="608">
        <v>199</v>
      </c>
      <c r="AD94" s="702">
        <f t="shared" si="213"/>
        <v>75.580500000000001</v>
      </c>
      <c r="AE94" s="623">
        <f>X94-U94+AD94</f>
        <v>75.580500000000001</v>
      </c>
      <c r="AF94" s="281">
        <f t="shared" si="215"/>
        <v>151.161</v>
      </c>
      <c r="AG94" s="444">
        <f t="shared" si="216"/>
        <v>174.161</v>
      </c>
      <c r="AH94" s="703">
        <f t="shared" si="217"/>
        <v>126.85</v>
      </c>
      <c r="AI94" s="1263" t="s">
        <v>896</v>
      </c>
      <c r="AJ94" s="1262">
        <v>60</v>
      </c>
      <c r="AK94" s="1262">
        <f t="shared" si="218"/>
        <v>352</v>
      </c>
      <c r="AL94" s="969">
        <f t="shared" si="219"/>
        <v>-14</v>
      </c>
      <c r="AM94" s="1030" t="s">
        <v>758</v>
      </c>
      <c r="AN94" s="273">
        <f>523+(23)</f>
        <v>546</v>
      </c>
      <c r="AO94" s="274">
        <f>Z94-AN94</f>
        <v>-375</v>
      </c>
      <c r="AP94" s="1118"/>
      <c r="AQ94" s="367" t="s">
        <v>823</v>
      </c>
      <c r="AR94" s="276">
        <f>H94</f>
        <v>86.02000000000001</v>
      </c>
      <c r="AS94" s="183">
        <f>Z94</f>
        <v>171</v>
      </c>
      <c r="AT94" s="183">
        <f>AN94</f>
        <v>546</v>
      </c>
      <c r="AU94" s="733">
        <f t="shared" si="221"/>
        <v>-98.999999999999943</v>
      </c>
      <c r="AV94" s="460">
        <f>S94-AK94</f>
        <v>-14</v>
      </c>
      <c r="BB94" s="275"/>
      <c r="BC94" s="183"/>
      <c r="BD94" s="183"/>
      <c r="BE94" s="1621">
        <f t="shared" si="222"/>
        <v>18</v>
      </c>
      <c r="BF94" s="278"/>
      <c r="BG94" s="1630"/>
      <c r="BH94" s="1630"/>
      <c r="BI94" s="1630"/>
      <c r="BJ94" s="299">
        <v>1</v>
      </c>
      <c r="BK94" s="1630"/>
      <c r="BL94" s="1630"/>
      <c r="BM94" s="1630"/>
      <c r="BN94" s="1630"/>
      <c r="BO94" s="1630"/>
      <c r="BP94" s="1630"/>
      <c r="BQ94" s="1630"/>
      <c r="BR94" s="1630"/>
      <c r="BS94" s="1630"/>
      <c r="BT94" s="1630"/>
    </row>
    <row r="95" spans="1:72" ht="291" customHeight="1">
      <c r="C95" s="1200" t="s">
        <v>899</v>
      </c>
      <c r="D95" s="1817" t="s">
        <v>900</v>
      </c>
      <c r="E95" s="1688"/>
      <c r="F95" s="1196" t="s">
        <v>903</v>
      </c>
      <c r="G95" s="557" t="s">
        <v>904</v>
      </c>
      <c r="H95" s="1238" t="s">
        <v>345</v>
      </c>
      <c r="I95" s="1003"/>
      <c r="J95" s="1313" t="s">
        <v>139</v>
      </c>
      <c r="K95" s="1314"/>
      <c r="L95" s="1245" t="s">
        <v>346</v>
      </c>
      <c r="M95" s="1245" t="s">
        <v>126</v>
      </c>
      <c r="N95" s="1245" t="s">
        <v>171</v>
      </c>
      <c r="O95" s="1315"/>
      <c r="P95" s="1315"/>
      <c r="Q95" s="1315"/>
      <c r="R95" s="425"/>
      <c r="S95" s="1006" t="s">
        <v>982</v>
      </c>
      <c r="T95" s="52"/>
      <c r="U95" s="1259" t="s">
        <v>912</v>
      </c>
      <c r="V95" s="208"/>
      <c r="W95" s="208"/>
      <c r="X95" s="52"/>
      <c r="Y95" s="118"/>
      <c r="Z95" s="1350" t="s">
        <v>976</v>
      </c>
      <c r="AA95" s="214"/>
      <c r="AB95" s="1260" t="s">
        <v>349</v>
      </c>
      <c r="AC95" s="1316" t="s">
        <v>907</v>
      </c>
      <c r="AD95" s="1309" t="s">
        <v>350</v>
      </c>
      <c r="AE95" s="64"/>
      <c r="AF95" s="117"/>
      <c r="AG95" s="1350" t="s">
        <v>976</v>
      </c>
      <c r="AH95" s="438"/>
      <c r="AI95" s="1101"/>
      <c r="AJ95" s="1545" t="s">
        <v>1153</v>
      </c>
      <c r="AK95" s="399"/>
      <c r="AL95" s="1596" t="s">
        <v>1199</v>
      </c>
      <c r="AM95" s="47"/>
      <c r="AN95" s="1291" t="s">
        <v>885</v>
      </c>
      <c r="AO95" s="208"/>
      <c r="AQ95" s="793"/>
      <c r="AR95" s="793"/>
      <c r="AS95" s="793"/>
      <c r="AT95" s="793"/>
      <c r="AU95" s="793"/>
      <c r="AV95" s="793"/>
    </row>
    <row r="96" spans="1:72" s="14" customFormat="1" ht="17">
      <c r="A96" s="927"/>
      <c r="B96" s="143"/>
      <c r="C96" s="12"/>
      <c r="D96" s="12"/>
      <c r="E96" s="166"/>
      <c r="F96" s="166"/>
      <c r="G96" s="166"/>
      <c r="H96" s="167"/>
      <c r="I96" s="1289"/>
      <c r="J96" s="1289"/>
      <c r="K96" s="1289"/>
      <c r="L96" s="1289"/>
      <c r="M96" s="1289"/>
      <c r="N96" s="1289"/>
      <c r="O96" s="1289"/>
      <c r="P96" s="1289"/>
      <c r="Q96" s="1289"/>
      <c r="R96" s="145" t="s">
        <v>105</v>
      </c>
      <c r="S96" s="1289"/>
      <c r="T96" s="1289"/>
      <c r="U96" s="1289"/>
      <c r="V96" s="1289"/>
      <c r="W96" s="1289"/>
      <c r="X96" s="1289"/>
      <c r="Y96" s="31"/>
      <c r="Z96" s="1350"/>
      <c r="AA96" s="82"/>
      <c r="AB96" s="100"/>
      <c r="AC96" s="1289"/>
      <c r="AD96" s="1289"/>
      <c r="AE96" s="1289"/>
      <c r="AF96" s="31"/>
      <c r="AG96" s="31"/>
      <c r="AH96" s="168"/>
      <c r="AI96" s="168"/>
      <c r="AJ96" s="169"/>
      <c r="AK96" s="147"/>
      <c r="AL96" s="31"/>
      <c r="AM96" s="31"/>
      <c r="AN96" s="994"/>
      <c r="AO96" s="994"/>
      <c r="AP96" s="895"/>
      <c r="AQ96" s="1285"/>
      <c r="AR96" s="38"/>
      <c r="AS96" s="29"/>
      <c r="AT96" s="29"/>
      <c r="AU96" s="96"/>
      <c r="AV96" s="509" t="s">
        <v>105</v>
      </c>
      <c r="BF96" s="199"/>
      <c r="BG96" s="199"/>
      <c r="BH96" s="199"/>
      <c r="BI96" s="199"/>
      <c r="BJ96" s="199"/>
      <c r="BK96" s="199"/>
      <c r="BL96" s="199"/>
      <c r="BM96" s="199"/>
      <c r="BN96" s="199"/>
      <c r="BO96" s="199"/>
      <c r="BP96" s="199"/>
      <c r="BQ96" s="199"/>
      <c r="BR96" s="199"/>
      <c r="BS96" s="199"/>
      <c r="BT96" s="199"/>
    </row>
    <row r="97" spans="1:74" s="14" customFormat="1" ht="15" customHeight="1">
      <c r="A97" s="927"/>
      <c r="B97" s="428"/>
      <c r="C97" s="1815"/>
      <c r="D97" s="1815"/>
      <c r="E97" s="1815"/>
      <c r="F97" s="1815"/>
      <c r="G97" s="1815"/>
      <c r="H97" s="1815"/>
      <c r="I97" s="1815"/>
      <c r="J97" s="1815"/>
      <c r="K97" s="1815"/>
      <c r="L97" s="1815"/>
      <c r="M97" s="1815"/>
      <c r="N97" s="1815"/>
      <c r="O97" s="1815"/>
      <c r="P97" s="1815"/>
      <c r="Q97" s="1815"/>
      <c r="R97" s="1815"/>
      <c r="S97" s="1815"/>
      <c r="T97" s="1816"/>
      <c r="U97" s="1816"/>
      <c r="V97" s="1816"/>
      <c r="W97" s="1816"/>
      <c r="X97" s="1816"/>
      <c r="Y97" s="1816"/>
      <c r="Z97" s="1816"/>
      <c r="AA97" s="1816"/>
      <c r="AB97" s="1816"/>
      <c r="AC97" s="1816"/>
      <c r="AD97" s="1816"/>
      <c r="AE97" s="1816"/>
      <c r="AF97" s="1717"/>
      <c r="AG97" s="1717"/>
      <c r="AH97" s="1717"/>
      <c r="AI97" s="1717"/>
      <c r="AJ97" s="1717"/>
      <c r="AK97" s="1717"/>
      <c r="AL97" s="1717"/>
      <c r="AM97" s="1287"/>
      <c r="AN97" s="994"/>
      <c r="AO97" s="994"/>
      <c r="AP97" s="895"/>
      <c r="AQ97" s="1292"/>
      <c r="AR97" s="398"/>
      <c r="AS97" s="398"/>
      <c r="AT97" s="398"/>
      <c r="AU97" s="398"/>
      <c r="AV97" s="398"/>
      <c r="BF97" s="199"/>
      <c r="BG97" s="199"/>
      <c r="BH97" s="199"/>
      <c r="BI97" s="199"/>
      <c r="BJ97" s="199"/>
      <c r="BK97" s="199"/>
      <c r="BL97" s="199"/>
      <c r="BM97" s="199"/>
      <c r="BN97" s="199"/>
      <c r="BO97" s="199"/>
      <c r="BP97" s="199"/>
      <c r="BQ97" s="199"/>
      <c r="BR97" s="199"/>
      <c r="BS97" s="199"/>
      <c r="BT97" s="199"/>
    </row>
    <row r="98" spans="1:74" s="1229" customFormat="1" ht="41" customHeight="1">
      <c r="A98" s="1329"/>
      <c r="B98" s="1275" t="s">
        <v>135</v>
      </c>
      <c r="C98" s="1559" t="s">
        <v>35</v>
      </c>
      <c r="D98" s="1690" t="s">
        <v>168</v>
      </c>
      <c r="E98" s="1792"/>
      <c r="F98" s="1792"/>
      <c r="G98" s="1792"/>
      <c r="H98" s="1792"/>
      <c r="I98" s="1793"/>
      <c r="J98" s="1788" t="s">
        <v>645</v>
      </c>
      <c r="K98" s="1789"/>
      <c r="L98" s="1790"/>
      <c r="M98" s="1790"/>
      <c r="N98" s="1790"/>
      <c r="O98" s="1790"/>
      <c r="P98" s="1791"/>
      <c r="Q98" s="1790"/>
      <c r="R98" s="1684" t="s">
        <v>882</v>
      </c>
      <c r="S98" s="1779"/>
      <c r="T98" s="1786" t="s">
        <v>664</v>
      </c>
      <c r="U98" s="1787"/>
      <c r="V98" s="1787"/>
      <c r="W98" s="1787"/>
      <c r="X98" s="1787"/>
      <c r="Y98" s="1811" t="s">
        <v>648</v>
      </c>
      <c r="Z98" s="1812"/>
      <c r="AA98" s="1276"/>
      <c r="AB98" s="1276"/>
      <c r="AC98" s="1784" t="s">
        <v>162</v>
      </c>
      <c r="AD98" s="1785"/>
      <c r="AE98" s="1785"/>
      <c r="AF98" s="1782" t="s">
        <v>883</v>
      </c>
      <c r="AG98" s="1783"/>
      <c r="AH98" s="1276"/>
      <c r="AI98" s="1277"/>
      <c r="AJ98" s="1780" t="s">
        <v>167</v>
      </c>
      <c r="AK98" s="1780"/>
      <c r="AL98" s="1780"/>
      <c r="AM98" s="1780"/>
      <c r="AN98" s="1781"/>
      <c r="AO98" s="1278"/>
      <c r="AP98" s="1330"/>
      <c r="AQ98" s="1331"/>
      <c r="AR98" s="1332"/>
      <c r="AS98" s="1333"/>
      <c r="AT98" s="1333"/>
      <c r="AU98" s="1334"/>
      <c r="AV98" s="1331"/>
      <c r="BF98" s="1329"/>
      <c r="BG98" s="1329"/>
      <c r="BH98" s="1329"/>
      <c r="BI98" s="1329"/>
      <c r="BJ98" s="1329"/>
      <c r="BK98" s="1329"/>
      <c r="BL98" s="1329"/>
      <c r="BM98" s="1329"/>
      <c r="BN98" s="1329"/>
      <c r="BO98" s="1329"/>
      <c r="BP98" s="1329"/>
      <c r="BQ98" s="1329"/>
      <c r="BR98" s="1329"/>
      <c r="BS98" s="1329"/>
      <c r="BT98" s="1329"/>
    </row>
    <row r="99" spans="1:74" ht="15" customHeight="1">
      <c r="C99" s="505"/>
      <c r="D99" s="207">
        <v>1</v>
      </c>
      <c r="E99" s="164">
        <f t="shared" ref="E99:W99" si="224">D99+1</f>
        <v>2</v>
      </c>
      <c r="F99" s="164">
        <f t="shared" si="224"/>
        <v>3</v>
      </c>
      <c r="G99" s="164">
        <f t="shared" si="224"/>
        <v>4</v>
      </c>
      <c r="H99" s="164">
        <f t="shared" si="224"/>
        <v>5</v>
      </c>
      <c r="I99" s="164">
        <f t="shared" si="224"/>
        <v>6</v>
      </c>
      <c r="J99" s="207">
        <f t="shared" si="224"/>
        <v>7</v>
      </c>
      <c r="K99" s="164">
        <f t="shared" si="224"/>
        <v>8</v>
      </c>
      <c r="L99" s="164">
        <f t="shared" si="224"/>
        <v>9</v>
      </c>
      <c r="M99" s="164">
        <f t="shared" si="224"/>
        <v>10</v>
      </c>
      <c r="N99" s="164">
        <f t="shared" si="224"/>
        <v>11</v>
      </c>
      <c r="O99" s="164">
        <f t="shared" si="224"/>
        <v>12</v>
      </c>
      <c r="P99" s="164">
        <f t="shared" si="224"/>
        <v>13</v>
      </c>
      <c r="Q99" s="164">
        <f t="shared" si="224"/>
        <v>14</v>
      </c>
      <c r="R99" s="914">
        <f t="shared" si="224"/>
        <v>15</v>
      </c>
      <c r="S99" s="915">
        <f t="shared" si="224"/>
        <v>16</v>
      </c>
      <c r="T99" s="10">
        <f t="shared" si="224"/>
        <v>17</v>
      </c>
      <c r="U99" s="10">
        <f t="shared" si="224"/>
        <v>18</v>
      </c>
      <c r="V99" s="10">
        <f t="shared" si="224"/>
        <v>19</v>
      </c>
      <c r="W99" s="10">
        <f t="shared" si="224"/>
        <v>20</v>
      </c>
      <c r="X99" s="10">
        <f t="shared" ref="X99:AC99" si="225">W99+1</f>
        <v>21</v>
      </c>
      <c r="Y99" s="914">
        <f t="shared" si="225"/>
        <v>22</v>
      </c>
      <c r="Z99" s="915">
        <f t="shared" si="225"/>
        <v>23</v>
      </c>
      <c r="AA99" s="207">
        <f t="shared" si="225"/>
        <v>24</v>
      </c>
      <c r="AB99" s="164">
        <f t="shared" si="225"/>
        <v>25</v>
      </c>
      <c r="AC99" s="207">
        <f t="shared" si="225"/>
        <v>26</v>
      </c>
      <c r="AD99" s="207">
        <f t="shared" ref="AD99:AL99" si="226">AC99+1</f>
        <v>27</v>
      </c>
      <c r="AE99" s="207">
        <f t="shared" si="226"/>
        <v>28</v>
      </c>
      <c r="AF99" s="914">
        <f t="shared" si="226"/>
        <v>29</v>
      </c>
      <c r="AG99" s="915">
        <f t="shared" si="226"/>
        <v>30</v>
      </c>
      <c r="AH99" s="164">
        <f t="shared" si="226"/>
        <v>31</v>
      </c>
      <c r="AI99" s="109">
        <f>AH99+1</f>
        <v>32</v>
      </c>
      <c r="AJ99" s="50">
        <f>AI99+1</f>
        <v>33</v>
      </c>
      <c r="AK99" s="164">
        <f t="shared" si="226"/>
        <v>34</v>
      </c>
      <c r="AL99" s="164">
        <f t="shared" si="226"/>
        <v>35</v>
      </c>
      <c r="AM99" s="164">
        <f t="shared" ref="AM99" si="227">AL99+1</f>
        <v>36</v>
      </c>
      <c r="AN99" s="163">
        <f t="shared" ref="AN99" si="228">AM99+1</f>
        <v>37</v>
      </c>
      <c r="AO99" s="164">
        <f t="shared" ref="AO99" si="229">AN99+1</f>
        <v>38</v>
      </c>
      <c r="AP99" s="1124"/>
      <c r="AQ99" s="184"/>
      <c r="AR99" s="10"/>
      <c r="AS99" s="10"/>
      <c r="AT99" s="10"/>
      <c r="AU99" s="97"/>
      <c r="AV99" s="10"/>
    </row>
    <row r="100" spans="1:74" ht="120" customHeight="1">
      <c r="B100" s="441"/>
      <c r="C100" s="1311" t="s">
        <v>901</v>
      </c>
      <c r="D100" s="1234" t="s">
        <v>284</v>
      </c>
      <c r="E100" s="1235" t="s">
        <v>296</v>
      </c>
      <c r="F100" s="1235" t="s">
        <v>286</v>
      </c>
      <c r="G100" s="1240" t="s">
        <v>234</v>
      </c>
      <c r="H100" s="805" t="s">
        <v>247</v>
      </c>
      <c r="I100" s="1002" t="s">
        <v>604</v>
      </c>
      <c r="J100" s="1234" t="s">
        <v>297</v>
      </c>
      <c r="K100" s="1240" t="s">
        <v>298</v>
      </c>
      <c r="L100" s="1240" t="s">
        <v>911</v>
      </c>
      <c r="M100" s="1286" t="s">
        <v>910</v>
      </c>
      <c r="N100" s="1240" t="s">
        <v>412</v>
      </c>
      <c r="O100" s="1240" t="s">
        <v>413</v>
      </c>
      <c r="P100" s="1240" t="s">
        <v>414</v>
      </c>
      <c r="Q100" s="1286" t="s">
        <v>415</v>
      </c>
      <c r="R100" s="602" t="s">
        <v>257</v>
      </c>
      <c r="S100" s="400" t="s">
        <v>363</v>
      </c>
      <c r="T100" s="1010" t="s">
        <v>299</v>
      </c>
      <c r="U100" s="1010" t="s">
        <v>300</v>
      </c>
      <c r="V100" s="1010" t="s">
        <v>301</v>
      </c>
      <c r="W100" s="1010" t="s">
        <v>301</v>
      </c>
      <c r="X100" s="872" t="s">
        <v>262</v>
      </c>
      <c r="Y100" s="523" t="s">
        <v>995</v>
      </c>
      <c r="Z100" s="599" t="s">
        <v>996</v>
      </c>
      <c r="AA100" s="1010" t="s">
        <v>265</v>
      </c>
      <c r="AB100" s="1010" t="s">
        <v>266</v>
      </c>
      <c r="AC100" s="1239" t="s">
        <v>627</v>
      </c>
      <c r="AD100" s="1010" t="s">
        <v>268</v>
      </c>
      <c r="AE100" s="1010" t="s">
        <v>269</v>
      </c>
      <c r="AF100" s="186" t="s">
        <v>344</v>
      </c>
      <c r="AG100" s="600" t="s">
        <v>270</v>
      </c>
      <c r="AH100" s="1010" t="s">
        <v>294</v>
      </c>
      <c r="AI100" s="1266" t="s">
        <v>812</v>
      </c>
      <c r="AJ100" s="1267" t="s">
        <v>809</v>
      </c>
      <c r="AK100" s="1549" t="s">
        <v>14</v>
      </c>
      <c r="AL100" s="1269" t="s">
        <v>295</v>
      </c>
      <c r="AM100" s="1010" t="s">
        <v>810</v>
      </c>
      <c r="AN100" s="1002" t="s">
        <v>746</v>
      </c>
      <c r="AO100" s="266" t="s">
        <v>272</v>
      </c>
      <c r="AQ100" s="408"/>
      <c r="AR100" s="805" t="s">
        <v>357</v>
      </c>
      <c r="AS100" s="988" t="s">
        <v>273</v>
      </c>
      <c r="AT100" s="806" t="s">
        <v>567</v>
      </c>
      <c r="AU100" s="1008" t="s">
        <v>811</v>
      </c>
      <c r="AV100" s="1008" t="s">
        <v>745</v>
      </c>
      <c r="BE100" s="1149" t="s">
        <v>822</v>
      </c>
    </row>
    <row r="101" spans="1:74" s="298" customFormat="1" ht="15" customHeight="1">
      <c r="A101" s="896">
        <f>A94+1</f>
        <v>31</v>
      </c>
      <c r="B101" s="880">
        <f>B94+1</f>
        <v>19</v>
      </c>
      <c r="C101" s="344" t="s">
        <v>411</v>
      </c>
      <c r="D101" s="607">
        <v>116</v>
      </c>
      <c r="E101" s="1335">
        <v>352</v>
      </c>
      <c r="F101" s="650">
        <v>248</v>
      </c>
      <c r="G101" s="1335">
        <f>F101*1.15</f>
        <v>285.2</v>
      </c>
      <c r="H101" s="643">
        <f>E101*0.23</f>
        <v>80.960000000000008</v>
      </c>
      <c r="I101" s="424">
        <f>0.5*(H101*1.1)</f>
        <v>44.528000000000006</v>
      </c>
      <c r="J101" s="671" t="s">
        <v>13</v>
      </c>
      <c r="K101" s="671" t="s">
        <v>13</v>
      </c>
      <c r="L101" s="1335">
        <v>66</v>
      </c>
      <c r="M101" s="671" t="s">
        <v>13</v>
      </c>
      <c r="N101" s="671" t="s">
        <v>13</v>
      </c>
      <c r="O101" s="671" t="s">
        <v>13</v>
      </c>
      <c r="P101" s="1307" t="s">
        <v>13</v>
      </c>
      <c r="Q101" s="1337">
        <f>SUM(J101:P101)</f>
        <v>66</v>
      </c>
      <c r="R101" s="545">
        <f>2*Q101</f>
        <v>132</v>
      </c>
      <c r="S101" s="542">
        <f>R101+(2*23)</f>
        <v>178</v>
      </c>
      <c r="T101" s="704">
        <v>0</v>
      </c>
      <c r="U101" s="704">
        <v>59</v>
      </c>
      <c r="V101" s="649" t="s">
        <v>12</v>
      </c>
      <c r="W101" s="649" t="s">
        <v>12</v>
      </c>
      <c r="X101" s="639">
        <f>SUM(T101:W101)</f>
        <v>59</v>
      </c>
      <c r="Y101" s="546">
        <f>2*X101</f>
        <v>118</v>
      </c>
      <c r="Z101" s="547">
        <f>Y101+(23)</f>
        <v>141</v>
      </c>
      <c r="AA101" s="649">
        <f>Z101-H101</f>
        <v>60.039999999999992</v>
      </c>
      <c r="AB101" s="653">
        <f>Z101-I101</f>
        <v>96.471999999999994</v>
      </c>
      <c r="AC101" s="650">
        <v>210</v>
      </c>
      <c r="AD101" s="649">
        <f>33.89+(AC101*0.2095)</f>
        <v>77.884999999999991</v>
      </c>
      <c r="AE101" s="624">
        <f>X101-U101+AD101</f>
        <v>77.884999999999991</v>
      </c>
      <c r="AF101" s="548">
        <f>2*AE101</f>
        <v>155.76999999999998</v>
      </c>
      <c r="AG101" s="549">
        <f>AF101+(23)</f>
        <v>178.76999999999998</v>
      </c>
      <c r="AH101" s="1341">
        <f>AG101-I101</f>
        <v>134.24199999999996</v>
      </c>
      <c r="AI101" s="1263" t="s">
        <v>908</v>
      </c>
      <c r="AJ101" s="1317">
        <v>255</v>
      </c>
      <c r="AK101" s="673">
        <f>(2*AJ101)+(2*71)+(2*45)</f>
        <v>742</v>
      </c>
      <c r="AL101" s="969">
        <f>S101-AK101</f>
        <v>-564</v>
      </c>
      <c r="AM101" s="623">
        <f>31</f>
        <v>31</v>
      </c>
      <c r="AN101" s="373">
        <f>466+23+AM101</f>
        <v>520</v>
      </c>
      <c r="AO101" s="308">
        <f>Z101-AN101</f>
        <v>-379</v>
      </c>
      <c r="AP101" s="1126"/>
      <c r="AQ101" s="344" t="s">
        <v>418</v>
      </c>
      <c r="AR101" s="276">
        <f>H101</f>
        <v>80.960000000000008</v>
      </c>
      <c r="AS101" s="183">
        <f>Z101</f>
        <v>141</v>
      </c>
      <c r="AT101" s="183">
        <f>AN101</f>
        <v>520</v>
      </c>
      <c r="AU101" s="733">
        <f t="shared" ref="AU101:AU105" si="230">S101-G101</f>
        <v>-107.19999999999999</v>
      </c>
      <c r="AV101" s="460">
        <f>S101-AK101</f>
        <v>-564</v>
      </c>
      <c r="AW101" s="551"/>
      <c r="AX101" s="551"/>
      <c r="AY101" s="551"/>
      <c r="AZ101" s="551"/>
      <c r="BA101" s="551"/>
      <c r="BB101" s="361"/>
      <c r="BC101" s="550"/>
      <c r="BD101" s="550"/>
      <c r="BE101" s="1622">
        <f>B101</f>
        <v>19</v>
      </c>
      <c r="BF101" s="552"/>
      <c r="BG101" s="1654"/>
      <c r="BH101" s="1654"/>
      <c r="BI101" s="1654"/>
      <c r="BJ101" s="299">
        <v>1</v>
      </c>
      <c r="BK101" s="1654"/>
      <c r="BL101" s="1654"/>
      <c r="BM101" s="1654"/>
      <c r="BN101" s="1654"/>
      <c r="BO101" s="1654"/>
      <c r="BP101" s="1654"/>
      <c r="BQ101" s="1654"/>
      <c r="BR101" s="1654"/>
      <c r="BS101" s="1654"/>
      <c r="BT101" s="1654"/>
      <c r="BU101" s="551"/>
      <c r="BV101" s="551"/>
    </row>
    <row r="102" spans="1:74" s="180" customFormat="1" ht="15" customHeight="1">
      <c r="A102" s="897">
        <f t="shared" ref="A102:B105" si="231">A101+1</f>
        <v>32</v>
      </c>
      <c r="B102" s="880">
        <f t="shared" si="231"/>
        <v>20</v>
      </c>
      <c r="C102" s="344" t="s">
        <v>416</v>
      </c>
      <c r="D102" s="607">
        <v>213</v>
      </c>
      <c r="E102" s="862">
        <f>2*D102</f>
        <v>426</v>
      </c>
      <c r="F102" s="862">
        <f>2*193</f>
        <v>386</v>
      </c>
      <c r="G102" s="656">
        <f>F102*1.15</f>
        <v>443.9</v>
      </c>
      <c r="H102" s="643">
        <f t="shared" ref="H102:H105" si="232">E102*0.23</f>
        <v>97.98</v>
      </c>
      <c r="I102" s="424">
        <f t="shared" ref="I102:I105" si="233">0.5*(H102*1.1)</f>
        <v>53.88900000000001</v>
      </c>
      <c r="J102" s="671" t="s">
        <v>13</v>
      </c>
      <c r="K102" s="671" t="s">
        <v>13</v>
      </c>
      <c r="L102" s="862">
        <f>144-19</f>
        <v>125</v>
      </c>
      <c r="M102" s="671" t="s">
        <v>13</v>
      </c>
      <c r="N102" s="671" t="s">
        <v>13</v>
      </c>
      <c r="O102" s="671" t="s">
        <v>13</v>
      </c>
      <c r="P102" s="671" t="s">
        <v>13</v>
      </c>
      <c r="Q102" s="1337">
        <f t="shared" ref="Q102:Q105" si="234">SUM(J102:P102)</f>
        <v>125</v>
      </c>
      <c r="R102" s="541">
        <f>2*Q102</f>
        <v>250</v>
      </c>
      <c r="S102" s="542">
        <f>R102+(2*71)</f>
        <v>392</v>
      </c>
      <c r="T102" s="704">
        <v>0</v>
      </c>
      <c r="U102" s="639">
        <v>81</v>
      </c>
      <c r="V102" s="649" t="s">
        <v>12</v>
      </c>
      <c r="W102" s="649" t="s">
        <v>12</v>
      </c>
      <c r="X102" s="639">
        <f>SUM(T102:W102)</f>
        <v>81</v>
      </c>
      <c r="Y102" s="543">
        <f>2*X102</f>
        <v>162</v>
      </c>
      <c r="Z102" s="547">
        <f>Y102+(23)</f>
        <v>185</v>
      </c>
      <c r="AA102" s="649">
        <f>Z102-H102</f>
        <v>87.02</v>
      </c>
      <c r="AB102" s="653">
        <f>Z102-I102</f>
        <v>131.11099999999999</v>
      </c>
      <c r="AC102" s="1339">
        <f>232-15</f>
        <v>217</v>
      </c>
      <c r="AD102" s="624">
        <f>(33.89)+(0.2095*AC102)</f>
        <v>79.351500000000001</v>
      </c>
      <c r="AE102" s="624">
        <f t="shared" ref="AE102:AE105" si="235">X102-U102+AD102</f>
        <v>79.351500000000001</v>
      </c>
      <c r="AF102" s="322">
        <f>2*AE102</f>
        <v>158.703</v>
      </c>
      <c r="AG102" s="549">
        <f>AF102+(23)</f>
        <v>181.703</v>
      </c>
      <c r="AH102" s="1342">
        <f>AG102-I102</f>
        <v>127.81399999999999</v>
      </c>
      <c r="AI102" s="1263" t="s">
        <v>913</v>
      </c>
      <c r="AJ102" s="969">
        <v>60</v>
      </c>
      <c r="AK102" s="673">
        <f>(2*AJ102)+(2*71)+(2*45)</f>
        <v>352</v>
      </c>
      <c r="AL102" s="969">
        <f>S102-AK102</f>
        <v>40</v>
      </c>
      <c r="AM102" s="623">
        <f>15+15</f>
        <v>30</v>
      </c>
      <c r="AN102" s="273">
        <f>523+(23)+AM102</f>
        <v>576</v>
      </c>
      <c r="AO102" s="308">
        <f>Z102-AN102</f>
        <v>-391</v>
      </c>
      <c r="AP102" s="1118"/>
      <c r="AQ102" s="367" t="s">
        <v>417</v>
      </c>
      <c r="AR102" s="276">
        <f>H102</f>
        <v>97.98</v>
      </c>
      <c r="AS102" s="183">
        <f>Z102</f>
        <v>185</v>
      </c>
      <c r="AT102" s="183">
        <f t="shared" ref="AT102:AT105" si="236">AN102</f>
        <v>576</v>
      </c>
      <c r="AU102" s="733">
        <f t="shared" si="230"/>
        <v>-51.899999999999977</v>
      </c>
      <c r="AV102" s="460">
        <f>S102-AK102</f>
        <v>40</v>
      </c>
      <c r="BE102" s="1622">
        <f t="shared" ref="BE102:BE105" si="237">B102</f>
        <v>20</v>
      </c>
      <c r="BF102" s="1630"/>
      <c r="BG102" s="1630"/>
      <c r="BH102" s="1630"/>
      <c r="BI102" s="1630"/>
      <c r="BJ102" s="299">
        <v>1</v>
      </c>
      <c r="BK102" s="1630"/>
      <c r="BL102" s="1630"/>
      <c r="BM102" s="1630"/>
      <c r="BN102" s="1630"/>
      <c r="BO102" s="1630"/>
      <c r="BP102" s="1630"/>
      <c r="BQ102" s="1630"/>
      <c r="BR102" s="1630"/>
      <c r="BS102" s="1630"/>
      <c r="BT102" s="1630"/>
    </row>
    <row r="103" spans="1:74" s="180" customFormat="1" ht="15" customHeight="1">
      <c r="A103" s="897">
        <f t="shared" si="231"/>
        <v>33</v>
      </c>
      <c r="B103" s="880">
        <f t="shared" si="231"/>
        <v>21</v>
      </c>
      <c r="C103" s="344" t="s">
        <v>24</v>
      </c>
      <c r="D103" s="607">
        <v>211</v>
      </c>
      <c r="E103" s="862">
        <f>2*D103</f>
        <v>422</v>
      </c>
      <c r="F103" s="862">
        <f>2*214</f>
        <v>428</v>
      </c>
      <c r="G103" s="656">
        <f>F103*1.15</f>
        <v>492.2</v>
      </c>
      <c r="H103" s="643">
        <f t="shared" si="232"/>
        <v>97.06</v>
      </c>
      <c r="I103" s="424">
        <f t="shared" si="233"/>
        <v>53.383000000000003</v>
      </c>
      <c r="J103" s="671" t="s">
        <v>13</v>
      </c>
      <c r="K103" s="671" t="s">
        <v>13</v>
      </c>
      <c r="L103" s="862">
        <f>180-67</f>
        <v>113</v>
      </c>
      <c r="M103" s="671" t="s">
        <v>13</v>
      </c>
      <c r="N103" s="671" t="s">
        <v>13</v>
      </c>
      <c r="O103" s="671" t="s">
        <v>13</v>
      </c>
      <c r="P103" s="671" t="s">
        <v>13</v>
      </c>
      <c r="Q103" s="1337">
        <f t="shared" si="234"/>
        <v>113</v>
      </c>
      <c r="R103" s="541">
        <f>2*Q103</f>
        <v>226</v>
      </c>
      <c r="S103" s="542">
        <f>R103+(2*71)</f>
        <v>368</v>
      </c>
      <c r="T103" s="639">
        <v>0</v>
      </c>
      <c r="U103" s="639">
        <v>82</v>
      </c>
      <c r="V103" s="649" t="s">
        <v>12</v>
      </c>
      <c r="W103" s="649" t="s">
        <v>12</v>
      </c>
      <c r="X103" s="639">
        <f>SUM(T103:W103)</f>
        <v>82</v>
      </c>
      <c r="Y103" s="543">
        <f>2*X103</f>
        <v>164</v>
      </c>
      <c r="Z103" s="547">
        <f>Y103+(23)</f>
        <v>187</v>
      </c>
      <c r="AA103" s="649">
        <f>Z103-H103</f>
        <v>89.94</v>
      </c>
      <c r="AB103" s="653">
        <f>Z103-I103</f>
        <v>133.61699999999999</v>
      </c>
      <c r="AC103" s="1339">
        <v>228</v>
      </c>
      <c r="AD103" s="624">
        <f>(33.89)+(0.2095*AC103)</f>
        <v>81.656000000000006</v>
      </c>
      <c r="AE103" s="624">
        <f t="shared" si="235"/>
        <v>81.656000000000006</v>
      </c>
      <c r="AF103" s="322">
        <f>2*AE103</f>
        <v>163.31200000000001</v>
      </c>
      <c r="AG103" s="549">
        <f>AF103+(23)</f>
        <v>186.31200000000001</v>
      </c>
      <c r="AH103" s="1342">
        <f>AG103-I103</f>
        <v>132.929</v>
      </c>
      <c r="AI103" s="1263" t="s">
        <v>768</v>
      </c>
      <c r="AJ103" s="969">
        <v>420</v>
      </c>
      <c r="AK103" s="673">
        <f>(2*AJ103)+(2*71)+(2*45)</f>
        <v>1072</v>
      </c>
      <c r="AL103" s="969">
        <f>S103-AK103</f>
        <v>-704</v>
      </c>
      <c r="AM103" s="623">
        <v>15</v>
      </c>
      <c r="AN103" s="273">
        <f>730+(23)+AM103</f>
        <v>768</v>
      </c>
      <c r="AO103" s="308">
        <f>Z103-AN103</f>
        <v>-581</v>
      </c>
      <c r="AP103" s="1118"/>
      <c r="AQ103" s="367" t="s">
        <v>163</v>
      </c>
      <c r="AR103" s="276">
        <f>H103</f>
        <v>97.06</v>
      </c>
      <c r="AS103" s="183">
        <f>Z103</f>
        <v>187</v>
      </c>
      <c r="AT103" s="183">
        <f t="shared" si="236"/>
        <v>768</v>
      </c>
      <c r="AU103" s="733">
        <f t="shared" si="230"/>
        <v>-124.19999999999999</v>
      </c>
      <c r="AV103" s="460">
        <f>S103-AK103</f>
        <v>-704</v>
      </c>
      <c r="BE103" s="1622">
        <f t="shared" si="237"/>
        <v>21</v>
      </c>
      <c r="BF103" s="1630"/>
      <c r="BG103" s="1630"/>
      <c r="BH103" s="1630"/>
      <c r="BI103" s="1630"/>
      <c r="BJ103" s="299">
        <v>1</v>
      </c>
      <c r="BK103" s="1630"/>
      <c r="BL103" s="1630"/>
      <c r="BM103" s="1630"/>
      <c r="BN103" s="1630"/>
      <c r="BO103" s="1630"/>
      <c r="BP103" s="1630"/>
      <c r="BQ103" s="1630"/>
      <c r="BR103" s="1630"/>
      <c r="BS103" s="1630"/>
      <c r="BT103" s="1630"/>
    </row>
    <row r="104" spans="1:74" s="180" customFormat="1" ht="15" customHeight="1">
      <c r="A104" s="897">
        <f t="shared" si="231"/>
        <v>34</v>
      </c>
      <c r="B104" s="880">
        <f t="shared" si="231"/>
        <v>22</v>
      </c>
      <c r="C104" s="344" t="s">
        <v>909</v>
      </c>
      <c r="D104" s="607">
        <v>246</v>
      </c>
      <c r="E104" s="862">
        <f>2*D104</f>
        <v>492</v>
      </c>
      <c r="F104" s="862">
        <f>2*216</f>
        <v>432</v>
      </c>
      <c r="G104" s="656">
        <f>F104*1.15</f>
        <v>496.79999999999995</v>
      </c>
      <c r="H104" s="643">
        <f t="shared" si="232"/>
        <v>113.16000000000001</v>
      </c>
      <c r="I104" s="424">
        <f t="shared" si="233"/>
        <v>62.238000000000014</v>
      </c>
      <c r="J104" s="671" t="s">
        <v>13</v>
      </c>
      <c r="K104" s="671" t="s">
        <v>13</v>
      </c>
      <c r="L104" s="862">
        <v>144</v>
      </c>
      <c r="M104" s="671" t="s">
        <v>13</v>
      </c>
      <c r="N104" s="671" t="s">
        <v>13</v>
      </c>
      <c r="O104" s="671" t="s">
        <v>13</v>
      </c>
      <c r="P104" s="671" t="s">
        <v>13</v>
      </c>
      <c r="Q104" s="1337">
        <f t="shared" si="234"/>
        <v>144</v>
      </c>
      <c r="R104" s="541">
        <f>2*Q104</f>
        <v>288</v>
      </c>
      <c r="S104" s="542">
        <f>R104+(2*71)</f>
        <v>430</v>
      </c>
      <c r="T104" s="704">
        <v>0</v>
      </c>
      <c r="U104" s="639">
        <v>82</v>
      </c>
      <c r="V104" s="639" t="s">
        <v>13</v>
      </c>
      <c r="W104" s="639" t="s">
        <v>13</v>
      </c>
      <c r="X104" s="639">
        <f>SUM(T104:W104)</f>
        <v>82</v>
      </c>
      <c r="Y104" s="543">
        <f>2*X104</f>
        <v>164</v>
      </c>
      <c r="Z104" s="547">
        <f>Y104+(23)</f>
        <v>187</v>
      </c>
      <c r="AA104" s="649">
        <f>Z104-H104</f>
        <v>73.839999999999989</v>
      </c>
      <c r="AB104" s="653">
        <f>Z104-I104</f>
        <v>124.76199999999999</v>
      </c>
      <c r="AC104" s="1339">
        <v>243</v>
      </c>
      <c r="AD104" s="624">
        <f>(33.89)+(0.2095*AC104)</f>
        <v>84.79849999999999</v>
      </c>
      <c r="AE104" s="624">
        <f t="shared" si="235"/>
        <v>84.79849999999999</v>
      </c>
      <c r="AF104" s="322">
        <f>2*AE104</f>
        <v>169.59699999999998</v>
      </c>
      <c r="AG104" s="549">
        <f>AF104+(23)</f>
        <v>192.59699999999998</v>
      </c>
      <c r="AH104" s="1342">
        <f>AG104-I104</f>
        <v>130.35899999999998</v>
      </c>
      <c r="AI104" s="1263" t="s">
        <v>896</v>
      </c>
      <c r="AJ104" s="969">
        <v>60</v>
      </c>
      <c r="AK104" s="673">
        <f>(2*AJ104)+(2*71)+(2*45)</f>
        <v>352</v>
      </c>
      <c r="AL104" s="969">
        <f>S104-AK104</f>
        <v>78</v>
      </c>
      <c r="AM104" s="623">
        <v>15</v>
      </c>
      <c r="AN104" s="273">
        <f>523+(23)+AM104</f>
        <v>561</v>
      </c>
      <c r="AO104" s="308">
        <f>Z104-AN104</f>
        <v>-374</v>
      </c>
      <c r="AP104" s="1118"/>
      <c r="AQ104" s="367" t="s">
        <v>824</v>
      </c>
      <c r="AR104" s="276">
        <f>H104</f>
        <v>113.16000000000001</v>
      </c>
      <c r="AS104" s="183">
        <f>Z104</f>
        <v>187</v>
      </c>
      <c r="AT104" s="183">
        <f t="shared" si="236"/>
        <v>561</v>
      </c>
      <c r="AU104" s="733">
        <f t="shared" si="230"/>
        <v>-66.799999999999955</v>
      </c>
      <c r="AV104" s="460">
        <f>S104-AK104</f>
        <v>78</v>
      </c>
      <c r="BE104" s="1622">
        <f t="shared" si="237"/>
        <v>22</v>
      </c>
      <c r="BF104" s="1630"/>
      <c r="BG104" s="1630"/>
      <c r="BH104" s="1630"/>
      <c r="BI104" s="1630"/>
      <c r="BJ104" s="299">
        <v>1</v>
      </c>
      <c r="BK104" s="1630"/>
      <c r="BL104" s="1630"/>
      <c r="BM104" s="1630"/>
      <c r="BN104" s="1630"/>
      <c r="BO104" s="1630"/>
      <c r="BP104" s="1630"/>
      <c r="BQ104" s="1630"/>
      <c r="BR104" s="1630"/>
      <c r="BS104" s="1630"/>
      <c r="BT104" s="1630"/>
    </row>
    <row r="105" spans="1:74" s="544" customFormat="1" ht="15" customHeight="1">
      <c r="A105" s="897">
        <f t="shared" si="231"/>
        <v>35</v>
      </c>
      <c r="B105" s="880">
        <f t="shared" si="231"/>
        <v>23</v>
      </c>
      <c r="C105" s="344" t="s">
        <v>148</v>
      </c>
      <c r="D105" s="607">
        <v>242</v>
      </c>
      <c r="E105" s="862">
        <f>2*D105</f>
        <v>484</v>
      </c>
      <c r="F105" s="862">
        <f>2*228</f>
        <v>456</v>
      </c>
      <c r="G105" s="656">
        <f>F105*1.15</f>
        <v>524.4</v>
      </c>
      <c r="H105" s="643">
        <f t="shared" si="232"/>
        <v>111.32000000000001</v>
      </c>
      <c r="I105" s="643">
        <f t="shared" si="233"/>
        <v>61.226000000000006</v>
      </c>
      <c r="J105" s="663" t="s">
        <v>13</v>
      </c>
      <c r="K105" s="671" t="s">
        <v>13</v>
      </c>
      <c r="L105" s="862">
        <f>143-41</f>
        <v>102</v>
      </c>
      <c r="M105" s="671" t="s">
        <v>13</v>
      </c>
      <c r="N105" s="671" t="s">
        <v>13</v>
      </c>
      <c r="O105" s="671" t="s">
        <v>13</v>
      </c>
      <c r="P105" s="671" t="s">
        <v>13</v>
      </c>
      <c r="Q105" s="1337">
        <f t="shared" si="234"/>
        <v>102</v>
      </c>
      <c r="R105" s="541">
        <f>2*Q105</f>
        <v>204</v>
      </c>
      <c r="S105" s="542">
        <f>R105+(2*71)</f>
        <v>346</v>
      </c>
      <c r="T105" s="639">
        <v>0</v>
      </c>
      <c r="U105" s="639">
        <v>87</v>
      </c>
      <c r="V105" s="639" t="s">
        <v>13</v>
      </c>
      <c r="W105" s="639" t="s">
        <v>13</v>
      </c>
      <c r="X105" s="639">
        <f>SUM(T105:W105)</f>
        <v>87</v>
      </c>
      <c r="Y105" s="543">
        <f>2*X105</f>
        <v>174</v>
      </c>
      <c r="Z105" s="547">
        <f>Y105+(23)</f>
        <v>197</v>
      </c>
      <c r="AA105" s="649">
        <f>Z105-H105</f>
        <v>85.679999999999993</v>
      </c>
      <c r="AB105" s="653">
        <f>Z105-I105</f>
        <v>135.774</v>
      </c>
      <c r="AC105" s="1339">
        <v>258</v>
      </c>
      <c r="AD105" s="624">
        <f>(33.89)+(0.2095*AC105)</f>
        <v>87.941000000000003</v>
      </c>
      <c r="AE105" s="624">
        <f t="shared" si="235"/>
        <v>87.941000000000003</v>
      </c>
      <c r="AF105" s="322">
        <f>2*AE105</f>
        <v>175.88200000000001</v>
      </c>
      <c r="AG105" s="549">
        <f>AF105+(23)</f>
        <v>198.88200000000001</v>
      </c>
      <c r="AH105" s="1341">
        <f>AG105-I105</f>
        <v>137.65600000000001</v>
      </c>
      <c r="AI105" s="1263" t="s">
        <v>768</v>
      </c>
      <c r="AJ105" s="969">
        <v>56</v>
      </c>
      <c r="AK105" s="673">
        <f>(2*AJ105)+(2*71)+(2*45)</f>
        <v>344</v>
      </c>
      <c r="AL105" s="969">
        <f>S105-AK105</f>
        <v>2</v>
      </c>
      <c r="AM105" s="1030" t="s">
        <v>758</v>
      </c>
      <c r="AN105" s="273">
        <f>730+(23)</f>
        <v>753</v>
      </c>
      <c r="AO105" s="308">
        <f>Z105-AN105</f>
        <v>-556</v>
      </c>
      <c r="AP105" s="1127"/>
      <c r="AQ105" s="367" t="s">
        <v>149</v>
      </c>
      <c r="AR105" s="276">
        <f>H105</f>
        <v>111.32000000000001</v>
      </c>
      <c r="AS105" s="183">
        <f>Z105</f>
        <v>197</v>
      </c>
      <c r="AT105" s="183">
        <f t="shared" si="236"/>
        <v>753</v>
      </c>
      <c r="AU105" s="733">
        <f t="shared" si="230"/>
        <v>-178.39999999999998</v>
      </c>
      <c r="AV105" s="460">
        <f>S105-AK105</f>
        <v>2</v>
      </c>
      <c r="BE105" s="1622">
        <f t="shared" si="237"/>
        <v>23</v>
      </c>
      <c r="BF105" s="1630"/>
      <c r="BG105" s="1630"/>
      <c r="BH105" s="1630"/>
      <c r="BI105" s="1630"/>
      <c r="BJ105" s="299">
        <v>1</v>
      </c>
      <c r="BK105" s="1630"/>
      <c r="BL105" s="1630"/>
      <c r="BM105" s="1630"/>
      <c r="BN105" s="1630"/>
      <c r="BO105" s="1630"/>
      <c r="BP105" s="1630"/>
      <c r="BQ105" s="1630"/>
      <c r="BR105" s="1630"/>
      <c r="BS105" s="1630"/>
      <c r="BT105" s="1630"/>
    </row>
    <row r="106" spans="1:74" ht="319" customHeight="1">
      <c r="C106" s="1200" t="s">
        <v>899</v>
      </c>
      <c r="D106" s="1817" t="s">
        <v>900</v>
      </c>
      <c r="E106" s="1688"/>
      <c r="F106" s="1294" t="s">
        <v>903</v>
      </c>
      <c r="G106" s="1296" t="s">
        <v>904</v>
      </c>
      <c r="H106" s="1238" t="s">
        <v>345</v>
      </c>
      <c r="I106" s="1003"/>
      <c r="J106" s="1336" t="s">
        <v>139</v>
      </c>
      <c r="K106" s="601"/>
      <c r="L106" s="1297" t="s">
        <v>346</v>
      </c>
      <c r="M106" s="1297"/>
      <c r="N106" s="1297"/>
      <c r="O106" s="1315"/>
      <c r="P106" s="1315"/>
      <c r="Q106" s="1315"/>
      <c r="R106" s="425"/>
      <c r="S106" s="1338" t="s">
        <v>983</v>
      </c>
      <c r="T106" s="52"/>
      <c r="U106" s="1259" t="s">
        <v>912</v>
      </c>
      <c r="V106" s="601" t="s">
        <v>987</v>
      </c>
      <c r="W106" s="208"/>
      <c r="X106" s="52"/>
      <c r="Y106" s="118"/>
      <c r="Z106" s="1350" t="s">
        <v>976</v>
      </c>
      <c r="AA106" s="1009"/>
      <c r="AB106" s="1260" t="s">
        <v>349</v>
      </c>
      <c r="AC106" s="1340" t="s">
        <v>907</v>
      </c>
      <c r="AD106" s="1309" t="s">
        <v>350</v>
      </c>
      <c r="AE106" s="140"/>
      <c r="AF106" s="117"/>
      <c r="AG106" s="1350" t="s">
        <v>976</v>
      </c>
      <c r="AH106" s="1310"/>
      <c r="AI106" s="1115"/>
      <c r="AJ106" s="1545" t="s">
        <v>1153</v>
      </c>
      <c r="AK106" s="399"/>
      <c r="AL106" s="1596" t="s">
        <v>1199</v>
      </c>
      <c r="AM106" s="47"/>
      <c r="AN106" s="1291" t="s">
        <v>885</v>
      </c>
      <c r="AO106" s="208"/>
      <c r="AQ106" s="793"/>
      <c r="AR106" s="793"/>
      <c r="AS106" s="793"/>
      <c r="AT106" s="793"/>
      <c r="AU106" s="793"/>
      <c r="AV106" s="793"/>
    </row>
    <row r="107" spans="1:74" ht="14" customHeight="1">
      <c r="C107" s="3"/>
      <c r="D107" s="89"/>
      <c r="E107" s="57"/>
      <c r="F107" s="57"/>
      <c r="G107" s="57"/>
      <c r="H107" s="62"/>
      <c r="I107" s="62"/>
      <c r="J107" s="165"/>
      <c r="L107" s="62"/>
      <c r="M107" s="314"/>
      <c r="N107" s="62"/>
      <c r="O107" s="62"/>
      <c r="P107" s="62"/>
      <c r="Q107" s="62"/>
      <c r="R107" s="147"/>
      <c r="S107" s="62"/>
      <c r="T107" s="430"/>
      <c r="U107" s="429"/>
      <c r="V107" s="62"/>
      <c r="W107" s="431"/>
      <c r="X107" s="62"/>
      <c r="Y107" s="47"/>
      <c r="Z107" s="47"/>
      <c r="AA107" s="314"/>
      <c r="AB107" s="432"/>
      <c r="AC107" s="324"/>
      <c r="AD107" s="325"/>
      <c r="AE107" s="62"/>
      <c r="AF107" s="47"/>
      <c r="AG107" s="47"/>
      <c r="AH107" s="74"/>
      <c r="AI107" s="74"/>
      <c r="AJ107" s="71"/>
      <c r="AK107" s="315"/>
      <c r="AL107" s="76"/>
      <c r="AM107" s="76"/>
      <c r="AN107" s="432"/>
      <c r="AO107" s="432"/>
      <c r="AQ107" s="314"/>
      <c r="AR107" s="314"/>
      <c r="AS107" s="314"/>
      <c r="AT107" s="789"/>
      <c r="AU107" s="314"/>
      <c r="AV107" s="511" t="s">
        <v>105</v>
      </c>
    </row>
    <row r="108" spans="1:74">
      <c r="C108" s="1885"/>
      <c r="D108" s="1885"/>
      <c r="E108" s="1885"/>
      <c r="F108" s="1885"/>
      <c r="G108" s="1885"/>
      <c r="H108" s="1885"/>
      <c r="I108" s="1885"/>
      <c r="J108" s="1885"/>
      <c r="K108" s="1885"/>
      <c r="L108" s="1885"/>
      <c r="M108" s="1885"/>
      <c r="N108" s="1885"/>
      <c r="O108" s="1885"/>
      <c r="P108" s="1885"/>
      <c r="Q108" s="1885"/>
      <c r="R108" s="1885"/>
      <c r="S108" s="1885"/>
      <c r="T108" s="1885"/>
      <c r="U108" s="1885"/>
      <c r="V108" s="1885"/>
      <c r="W108" s="1885"/>
      <c r="X108" s="1885"/>
      <c r="Y108" s="1885"/>
      <c r="Z108" s="1885"/>
      <c r="AA108" s="1885"/>
      <c r="AB108" s="1885"/>
      <c r="AC108" s="1885"/>
      <c r="AD108" s="1885"/>
      <c r="AE108" s="1885"/>
      <c r="AF108" s="1885"/>
      <c r="AG108" s="1885"/>
      <c r="AH108" s="168"/>
      <c r="AI108" s="168"/>
      <c r="AJ108" s="47"/>
      <c r="AK108" s="47"/>
      <c r="AL108" s="47"/>
      <c r="AM108" s="47"/>
      <c r="AN108" s="913"/>
      <c r="AO108" s="913"/>
      <c r="AP108" s="1128"/>
      <c r="AU108"/>
    </row>
    <row r="109" spans="1:74" s="1331" customFormat="1" ht="38" customHeight="1">
      <c r="A109" s="1343"/>
      <c r="B109" s="1275" t="s">
        <v>26</v>
      </c>
      <c r="C109" s="1559" t="s">
        <v>35</v>
      </c>
      <c r="D109" s="1690" t="s">
        <v>168</v>
      </c>
      <c r="E109" s="1792"/>
      <c r="F109" s="1792"/>
      <c r="G109" s="1792"/>
      <c r="H109" s="1792"/>
      <c r="I109" s="1793"/>
      <c r="J109" s="1684" t="s">
        <v>914</v>
      </c>
      <c r="K109" s="1685"/>
      <c r="L109" s="1685"/>
      <c r="M109" s="1685"/>
      <c r="N109" s="1685"/>
      <c r="O109" s="1685"/>
      <c r="P109" s="1685"/>
      <c r="Q109" s="1779"/>
      <c r="R109" s="1886" t="s">
        <v>663</v>
      </c>
      <c r="S109" s="1887"/>
      <c r="T109" s="1786" t="s">
        <v>664</v>
      </c>
      <c r="U109" s="1787"/>
      <c r="V109" s="1787"/>
      <c r="W109" s="1787"/>
      <c r="X109" s="1787"/>
      <c r="Y109" s="1811" t="s">
        <v>665</v>
      </c>
      <c r="Z109" s="1812"/>
      <c r="AA109" s="1344"/>
      <c r="AB109" s="1276"/>
      <c r="AC109" s="1888" t="s">
        <v>162</v>
      </c>
      <c r="AD109" s="1889"/>
      <c r="AE109" s="1889"/>
      <c r="AF109" s="1890" t="s">
        <v>666</v>
      </c>
      <c r="AG109" s="1891"/>
      <c r="AH109" s="1345"/>
      <c r="AI109" s="1277"/>
      <c r="AJ109" s="1780" t="s">
        <v>167</v>
      </c>
      <c r="AK109" s="1780"/>
      <c r="AL109" s="1780"/>
      <c r="AM109" s="1780"/>
      <c r="AN109" s="1781"/>
      <c r="AO109" s="1278"/>
      <c r="AP109" s="1330"/>
      <c r="BF109" s="1632"/>
      <c r="BG109" s="1632"/>
      <c r="BH109" s="1632"/>
      <c r="BI109" s="1632"/>
      <c r="BJ109" s="1632"/>
      <c r="BK109" s="1632"/>
      <c r="BL109" s="1632"/>
      <c r="BM109" s="1632"/>
      <c r="BN109" s="1632"/>
      <c r="BO109" s="1632"/>
      <c r="BP109" s="1632"/>
      <c r="BQ109" s="1632"/>
      <c r="BR109" s="1632"/>
      <c r="BS109" s="1632"/>
      <c r="BT109" s="1632"/>
    </row>
    <row r="110" spans="1:74" s="184" customFormat="1">
      <c r="A110" s="453"/>
      <c r="B110" s="34"/>
      <c r="C110" s="505"/>
      <c r="D110" s="207">
        <v>1</v>
      </c>
      <c r="E110" s="164">
        <f t="shared" ref="E110:AE110" si="238">D110+1</f>
        <v>2</v>
      </c>
      <c r="F110" s="753">
        <f t="shared" si="238"/>
        <v>3</v>
      </c>
      <c r="G110" s="164">
        <f t="shared" si="238"/>
        <v>4</v>
      </c>
      <c r="H110" s="164">
        <f t="shared" si="238"/>
        <v>5</v>
      </c>
      <c r="I110" s="164">
        <f t="shared" si="238"/>
        <v>6</v>
      </c>
      <c r="J110" s="207">
        <f t="shared" si="238"/>
        <v>7</v>
      </c>
      <c r="K110" s="824">
        <f t="shared" si="238"/>
        <v>8</v>
      </c>
      <c r="L110" s="164">
        <f t="shared" si="238"/>
        <v>9</v>
      </c>
      <c r="M110" s="164">
        <f t="shared" si="238"/>
        <v>10</v>
      </c>
      <c r="N110" s="164">
        <f t="shared" si="238"/>
        <v>11</v>
      </c>
      <c r="O110" s="164">
        <f t="shared" si="238"/>
        <v>12</v>
      </c>
      <c r="P110" s="164">
        <f t="shared" si="238"/>
        <v>13</v>
      </c>
      <c r="Q110" s="164">
        <f t="shared" si="238"/>
        <v>14</v>
      </c>
      <c r="R110" s="914">
        <f t="shared" si="238"/>
        <v>15</v>
      </c>
      <c r="S110" s="915">
        <f t="shared" si="238"/>
        <v>16</v>
      </c>
      <c r="T110" s="10">
        <f t="shared" si="238"/>
        <v>17</v>
      </c>
      <c r="U110" s="10">
        <f t="shared" si="238"/>
        <v>18</v>
      </c>
      <c r="V110" s="10">
        <f t="shared" si="238"/>
        <v>19</v>
      </c>
      <c r="W110" s="10">
        <f t="shared" si="238"/>
        <v>20</v>
      </c>
      <c r="X110" s="10">
        <f t="shared" si="238"/>
        <v>21</v>
      </c>
      <c r="Y110" s="914">
        <f t="shared" si="238"/>
        <v>22</v>
      </c>
      <c r="Z110" s="915">
        <f t="shared" si="238"/>
        <v>23</v>
      </c>
      <c r="AA110" s="207">
        <f t="shared" si="238"/>
        <v>24</v>
      </c>
      <c r="AB110" s="164">
        <f t="shared" si="238"/>
        <v>25</v>
      </c>
      <c r="AC110" s="914">
        <f t="shared" si="238"/>
        <v>26</v>
      </c>
      <c r="AD110" s="824">
        <f t="shared" si="238"/>
        <v>27</v>
      </c>
      <c r="AE110" s="915">
        <f t="shared" si="238"/>
        <v>28</v>
      </c>
      <c r="AF110" s="914">
        <f>AE110+1</f>
        <v>29</v>
      </c>
      <c r="AG110" s="915">
        <f t="shared" ref="AG110:AL110" si="239">AF110+1</f>
        <v>30</v>
      </c>
      <c r="AH110" s="824">
        <f t="shared" si="239"/>
        <v>31</v>
      </c>
      <c r="AI110" s="109">
        <f>AH110+1</f>
        <v>32</v>
      </c>
      <c r="AJ110" s="50">
        <f>AI110+1</f>
        <v>33</v>
      </c>
      <c r="AK110" s="164">
        <f t="shared" si="239"/>
        <v>34</v>
      </c>
      <c r="AL110" s="164">
        <f t="shared" si="239"/>
        <v>35</v>
      </c>
      <c r="AM110" s="164">
        <f t="shared" ref="AM110" si="240">AL110+1</f>
        <v>36</v>
      </c>
      <c r="AN110" s="163">
        <f t="shared" ref="AN110" si="241">AM110+1</f>
        <v>37</v>
      </c>
      <c r="AO110" s="164">
        <f t="shared" ref="AO110" si="242">AN110+1</f>
        <v>38</v>
      </c>
      <c r="AP110" s="1124"/>
      <c r="BF110" s="453"/>
      <c r="BG110" s="453"/>
      <c r="BH110" s="453"/>
      <c r="BI110" s="453"/>
      <c r="BJ110" s="453"/>
      <c r="BK110" s="453"/>
      <c r="BL110" s="453"/>
      <c r="BM110" s="453"/>
      <c r="BN110" s="453"/>
      <c r="BO110" s="453"/>
      <c r="BP110" s="453"/>
      <c r="BQ110" s="453"/>
      <c r="BR110" s="453"/>
      <c r="BS110" s="453"/>
      <c r="BT110" s="453"/>
    </row>
    <row r="111" spans="1:74" ht="133" customHeight="1">
      <c r="A111" s="927"/>
      <c r="C111" s="1311" t="s">
        <v>901</v>
      </c>
      <c r="D111" s="1234" t="s">
        <v>716</v>
      </c>
      <c r="E111" s="1235" t="s">
        <v>717</v>
      </c>
      <c r="F111" s="1235" t="s">
        <v>718</v>
      </c>
      <c r="G111" s="1235" t="s">
        <v>234</v>
      </c>
      <c r="H111" s="805" t="s">
        <v>719</v>
      </c>
      <c r="I111" s="1002" t="s">
        <v>720</v>
      </c>
      <c r="J111" s="1266" t="s">
        <v>1230</v>
      </c>
      <c r="K111" s="1312" t="s">
        <v>1240</v>
      </c>
      <c r="L111" s="1312" t="s">
        <v>721</v>
      </c>
      <c r="M111" s="1312" t="s">
        <v>722</v>
      </c>
      <c r="N111" s="1312" t="s">
        <v>723</v>
      </c>
      <c r="O111" s="1312" t="s">
        <v>724</v>
      </c>
      <c r="P111" s="1312" t="s">
        <v>725</v>
      </c>
      <c r="Q111" s="1348" t="s">
        <v>726</v>
      </c>
      <c r="R111" s="602" t="s">
        <v>727</v>
      </c>
      <c r="S111" s="400" t="s">
        <v>363</v>
      </c>
      <c r="T111" s="1010" t="s">
        <v>918</v>
      </c>
      <c r="U111" s="1010" t="s">
        <v>728</v>
      </c>
      <c r="V111" s="1010" t="s">
        <v>729</v>
      </c>
      <c r="W111" s="1010" t="s">
        <v>729</v>
      </c>
      <c r="X111" s="1010" t="s">
        <v>730</v>
      </c>
      <c r="Y111" s="523" t="s">
        <v>995</v>
      </c>
      <c r="Z111" s="599" t="s">
        <v>996</v>
      </c>
      <c r="AA111" s="1010" t="s">
        <v>731</v>
      </c>
      <c r="AB111" s="1010" t="s">
        <v>732</v>
      </c>
      <c r="AC111" s="1430" t="s">
        <v>627</v>
      </c>
      <c r="AD111" s="1010" t="s">
        <v>733</v>
      </c>
      <c r="AE111" s="1010" t="s">
        <v>734</v>
      </c>
      <c r="AF111" s="186" t="s">
        <v>735</v>
      </c>
      <c r="AG111" s="916" t="s">
        <v>736</v>
      </c>
      <c r="AH111" s="1023" t="s">
        <v>271</v>
      </c>
      <c r="AI111" s="1266" t="s">
        <v>812</v>
      </c>
      <c r="AJ111" s="1267" t="s">
        <v>809</v>
      </c>
      <c r="AK111" s="1546" t="s">
        <v>14</v>
      </c>
      <c r="AL111" s="1269" t="s">
        <v>667</v>
      </c>
      <c r="AM111" s="1010" t="s">
        <v>810</v>
      </c>
      <c r="AN111" s="1002" t="s">
        <v>746</v>
      </c>
      <c r="AO111" s="917" t="s">
        <v>272</v>
      </c>
      <c r="AP111" s="1128"/>
      <c r="AQ111" s="1288" t="s">
        <v>920</v>
      </c>
      <c r="AR111" s="805" t="s">
        <v>357</v>
      </c>
      <c r="AS111" s="805" t="s">
        <v>737</v>
      </c>
      <c r="AT111" s="806" t="s">
        <v>567</v>
      </c>
      <c r="AU111" s="1008" t="s">
        <v>811</v>
      </c>
      <c r="AV111" s="1008" t="s">
        <v>745</v>
      </c>
      <c r="BE111" s="1149" t="s">
        <v>822</v>
      </c>
    </row>
    <row r="112" spans="1:74" s="825" customFormat="1" ht="16" customHeight="1">
      <c r="A112" s="936">
        <f>A105+1</f>
        <v>36</v>
      </c>
      <c r="B112" s="918">
        <f>B75+1</f>
        <v>13</v>
      </c>
      <c r="C112" s="1014" t="s">
        <v>915</v>
      </c>
      <c r="D112" s="1346">
        <v>130</v>
      </c>
      <c r="E112" s="1347">
        <f>2*D112</f>
        <v>260</v>
      </c>
      <c r="F112" s="1347">
        <f>2*150</f>
        <v>300</v>
      </c>
      <c r="G112" s="656">
        <f>F112*1.15</f>
        <v>345</v>
      </c>
      <c r="H112" s="816">
        <f>(E112*0.23)</f>
        <v>59.800000000000004</v>
      </c>
      <c r="I112" s="373">
        <f>0.5*(H112*1.1)</f>
        <v>32.890000000000008</v>
      </c>
      <c r="J112" s="617">
        <f>41+66</f>
        <v>107</v>
      </c>
      <c r="K112" s="617">
        <v>15</v>
      </c>
      <c r="L112" s="617" t="s">
        <v>136</v>
      </c>
      <c r="M112" s="969" t="s">
        <v>12</v>
      </c>
      <c r="N112" s="969" t="s">
        <v>12</v>
      </c>
      <c r="O112" s="969" t="s">
        <v>12</v>
      </c>
      <c r="P112" s="969" t="s">
        <v>12</v>
      </c>
      <c r="Q112" s="1317">
        <f>SUM(J112:P112)</f>
        <v>122</v>
      </c>
      <c r="R112" s="919">
        <f>2*Q112</f>
        <v>244</v>
      </c>
      <c r="S112" s="920">
        <f>R112+(2*71)</f>
        <v>386</v>
      </c>
      <c r="T112" s="865">
        <v>70</v>
      </c>
      <c r="U112" s="865">
        <v>1</v>
      </c>
      <c r="V112" s="649" t="s">
        <v>12</v>
      </c>
      <c r="W112" s="649" t="s">
        <v>12</v>
      </c>
      <c r="X112" s="624">
        <f>SUM(T112:W112)</f>
        <v>71</v>
      </c>
      <c r="Y112" s="543">
        <f>2*X112</f>
        <v>142</v>
      </c>
      <c r="Z112" s="525">
        <f>Y112+(23)</f>
        <v>165</v>
      </c>
      <c r="AA112" s="624">
        <f>Z112-H112</f>
        <v>105.19999999999999</v>
      </c>
      <c r="AB112" s="653">
        <f>Z112-I112</f>
        <v>132.10999999999999</v>
      </c>
      <c r="AC112" s="1431">
        <v>171</v>
      </c>
      <c r="AD112" s="1024">
        <f>33.89+(0.2095*AC112)</f>
        <v>69.714500000000001</v>
      </c>
      <c r="AE112" s="624">
        <f>X112-T112+AD112</f>
        <v>70.714500000000001</v>
      </c>
      <c r="AF112" s="322">
        <f>2*AE112</f>
        <v>141.429</v>
      </c>
      <c r="AG112" s="323">
        <f>AF112+(23)</f>
        <v>164.429</v>
      </c>
      <c r="AH112" s="653">
        <f>AG112-I112</f>
        <v>131.53899999999999</v>
      </c>
      <c r="AI112" s="1263" t="s">
        <v>896</v>
      </c>
      <c r="AJ112" s="969">
        <v>60</v>
      </c>
      <c r="AK112" s="1262">
        <f t="shared" ref="AK112:AK115" si="243">(2*AJ112)+(2*71)+(2*45)</f>
        <v>352</v>
      </c>
      <c r="AL112" s="969">
        <f t="shared" ref="AL112:AL113" si="244">S112-AK112</f>
        <v>34</v>
      </c>
      <c r="AM112" s="623">
        <f>31</f>
        <v>31</v>
      </c>
      <c r="AN112" s="373">
        <f>523+(23)+AM112</f>
        <v>577</v>
      </c>
      <c r="AO112" s="816">
        <f>Z112-AN112</f>
        <v>-412</v>
      </c>
      <c r="AP112" s="1130"/>
      <c r="AQ112" s="1014" t="s">
        <v>713</v>
      </c>
      <c r="AR112" s="921">
        <f>H112</f>
        <v>59.800000000000004</v>
      </c>
      <c r="AS112" s="921">
        <f>Z112</f>
        <v>165</v>
      </c>
      <c r="AT112" s="921">
        <f t="shared" ref="AT112:AT116" si="245">AN112</f>
        <v>577</v>
      </c>
      <c r="AU112" s="733">
        <f t="shared" ref="AU112:AU116" si="246">S112-G112</f>
        <v>41</v>
      </c>
      <c r="AV112" s="922">
        <f>AL112</f>
        <v>34</v>
      </c>
      <c r="BE112" s="1623">
        <f>B112</f>
        <v>13</v>
      </c>
      <c r="BK112" s="299">
        <v>1</v>
      </c>
      <c r="BL112" s="299"/>
    </row>
    <row r="113" spans="1:72" s="825" customFormat="1" ht="16" customHeight="1">
      <c r="A113" s="1674">
        <f>A112+1</f>
        <v>37</v>
      </c>
      <c r="B113" s="918">
        <f>B112+1</f>
        <v>14</v>
      </c>
      <c r="C113" s="860" t="s">
        <v>916</v>
      </c>
      <c r="D113" s="1346">
        <v>105</v>
      </c>
      <c r="E113" s="1347">
        <f>2*D113</f>
        <v>210</v>
      </c>
      <c r="F113" s="1347">
        <f>2*132</f>
        <v>264</v>
      </c>
      <c r="G113" s="656">
        <f>F113*1.15</f>
        <v>303.59999999999997</v>
      </c>
      <c r="H113" s="816">
        <f>(E113*0.23)</f>
        <v>48.300000000000004</v>
      </c>
      <c r="I113" s="373">
        <f>0.5*(H113*1.1)</f>
        <v>26.565000000000005</v>
      </c>
      <c r="J113" s="617">
        <f t="shared" ref="J113:J116" si="247">41+66</f>
        <v>107</v>
      </c>
      <c r="K113" s="617">
        <f>15+15</f>
        <v>30</v>
      </c>
      <c r="L113" s="617">
        <f>200-155</f>
        <v>45</v>
      </c>
      <c r="M113" s="969" t="s">
        <v>12</v>
      </c>
      <c r="N113" s="969" t="s">
        <v>12</v>
      </c>
      <c r="O113" s="969" t="s">
        <v>12</v>
      </c>
      <c r="P113" s="969" t="s">
        <v>12</v>
      </c>
      <c r="Q113" s="1317">
        <f>SUM(J113:P113)</f>
        <v>182</v>
      </c>
      <c r="R113" s="919">
        <f>2*Q113</f>
        <v>364</v>
      </c>
      <c r="S113" s="920">
        <f>R113+(2*71)</f>
        <v>506</v>
      </c>
      <c r="T113" s="865">
        <v>70</v>
      </c>
      <c r="U113" s="865">
        <v>1</v>
      </c>
      <c r="V113" s="649" t="s">
        <v>12</v>
      </c>
      <c r="W113" s="649" t="s">
        <v>12</v>
      </c>
      <c r="X113" s="624">
        <f>SUM(T113:W113)</f>
        <v>71</v>
      </c>
      <c r="Y113" s="543">
        <f>2*X113</f>
        <v>142</v>
      </c>
      <c r="Z113" s="525">
        <f>Y113+(23)</f>
        <v>165</v>
      </c>
      <c r="AA113" s="624">
        <f>Z113-H113</f>
        <v>116.69999999999999</v>
      </c>
      <c r="AB113" s="653">
        <f>Z113-I113</f>
        <v>138.435</v>
      </c>
      <c r="AC113" s="1431">
        <v>171</v>
      </c>
      <c r="AD113" s="1024">
        <f>33.89+(0.2095*AC113)</f>
        <v>69.714500000000001</v>
      </c>
      <c r="AE113" s="624">
        <f>X113-T113+AD113</f>
        <v>70.714500000000001</v>
      </c>
      <c r="AF113" s="322">
        <f>2*AE113</f>
        <v>141.429</v>
      </c>
      <c r="AG113" s="323">
        <f>AF113+(23)</f>
        <v>164.429</v>
      </c>
      <c r="AH113" s="653">
        <f>AG113-I113</f>
        <v>137.864</v>
      </c>
      <c r="AI113" s="1263" t="s">
        <v>770</v>
      </c>
      <c r="AJ113" s="969">
        <v>53</v>
      </c>
      <c r="AK113" s="1262">
        <f t="shared" si="243"/>
        <v>338</v>
      </c>
      <c r="AL113" s="969">
        <f t="shared" si="244"/>
        <v>168</v>
      </c>
      <c r="AM113" s="623">
        <f>31</f>
        <v>31</v>
      </c>
      <c r="AN113" s="373">
        <f>189+(23)+AM113</f>
        <v>243</v>
      </c>
      <c r="AO113" s="816">
        <f>Z113-AN113</f>
        <v>-78</v>
      </c>
      <c r="AP113" s="1130"/>
      <c r="AQ113" s="860" t="s">
        <v>714</v>
      </c>
      <c r="AR113" s="921">
        <f>H113</f>
        <v>48.300000000000004</v>
      </c>
      <c r="AS113" s="921">
        <f>Z113</f>
        <v>165</v>
      </c>
      <c r="AT113" s="921">
        <f t="shared" si="245"/>
        <v>243</v>
      </c>
      <c r="AU113" s="733">
        <f t="shared" si="246"/>
        <v>202.40000000000003</v>
      </c>
      <c r="AV113" s="922">
        <f>AL113</f>
        <v>168</v>
      </c>
      <c r="BE113" s="1623">
        <f t="shared" ref="BE113:BE116" si="248">B113</f>
        <v>14</v>
      </c>
      <c r="BK113" s="299">
        <v>1</v>
      </c>
      <c r="BL113" s="299"/>
    </row>
    <row r="114" spans="1:72" s="825" customFormat="1" ht="16" customHeight="1">
      <c r="A114" s="936">
        <f t="shared" ref="A114:A116" si="249">A113+1</f>
        <v>38</v>
      </c>
      <c r="B114" s="918">
        <f>B113+1</f>
        <v>15</v>
      </c>
      <c r="C114" s="1014" t="s">
        <v>668</v>
      </c>
      <c r="D114" s="1346">
        <v>81</v>
      </c>
      <c r="E114" s="1347">
        <f>2*D114</f>
        <v>162</v>
      </c>
      <c r="F114" s="1347">
        <f>2*94</f>
        <v>188</v>
      </c>
      <c r="G114" s="656">
        <f t="shared" ref="G114:G115" si="250">F114*1.15</f>
        <v>216.2</v>
      </c>
      <c r="H114" s="816">
        <f>(E114*0.23)</f>
        <v>37.260000000000005</v>
      </c>
      <c r="I114" s="373">
        <f>0.5*(H114*1.1)</f>
        <v>20.493000000000006</v>
      </c>
      <c r="J114" s="617">
        <v>66</v>
      </c>
      <c r="K114" s="617">
        <v>15</v>
      </c>
      <c r="L114" s="617">
        <f>200-60</f>
        <v>140</v>
      </c>
      <c r="M114" s="969" t="s">
        <v>12</v>
      </c>
      <c r="N114" s="969" t="s">
        <v>12</v>
      </c>
      <c r="O114" s="969" t="s">
        <v>12</v>
      </c>
      <c r="P114" s="969" t="s">
        <v>12</v>
      </c>
      <c r="Q114" s="1317">
        <f>SUM(J114:P114)</f>
        <v>221</v>
      </c>
      <c r="R114" s="919">
        <f t="shared" ref="R114:R115" si="251">2*Q114</f>
        <v>442</v>
      </c>
      <c r="S114" s="920">
        <f t="shared" ref="S114:S115" si="252">R114+(2*71)</f>
        <v>584</v>
      </c>
      <c r="T114" s="865">
        <v>62</v>
      </c>
      <c r="U114" s="865">
        <v>1</v>
      </c>
      <c r="V114" s="649" t="s">
        <v>12</v>
      </c>
      <c r="W114" s="649" t="s">
        <v>12</v>
      </c>
      <c r="X114" s="624">
        <f>SUM(T114:W114)</f>
        <v>63</v>
      </c>
      <c r="Y114" s="543">
        <f t="shared" ref="Y114:Y115" si="253">2*X114</f>
        <v>126</v>
      </c>
      <c r="Z114" s="525">
        <f t="shared" ref="Z114:Z115" si="254">Y114+(23)</f>
        <v>149</v>
      </c>
      <c r="AA114" s="624">
        <f>Z114-H114</f>
        <v>111.74</v>
      </c>
      <c r="AB114" s="653">
        <f>Z114-I114</f>
        <v>128.50700000000001</v>
      </c>
      <c r="AC114" s="1431">
        <f>171-48</f>
        <v>123</v>
      </c>
      <c r="AD114" s="1024">
        <f>33.89+(0.2095*AC114)</f>
        <v>59.658500000000004</v>
      </c>
      <c r="AE114" s="624">
        <f>X114-T114+AD114</f>
        <v>60.658500000000004</v>
      </c>
      <c r="AF114" s="322">
        <f t="shared" ref="AF114:AF115" si="255">2*AE114</f>
        <v>121.31700000000001</v>
      </c>
      <c r="AG114" s="323">
        <f t="shared" ref="AG114:AG115" si="256">AF114+(23)</f>
        <v>144.31700000000001</v>
      </c>
      <c r="AH114" s="653">
        <f>AG114-I114</f>
        <v>123.824</v>
      </c>
      <c r="AI114" s="1261" t="s">
        <v>769</v>
      </c>
      <c r="AJ114" s="1262">
        <v>300</v>
      </c>
      <c r="AK114" s="1262">
        <f t="shared" si="243"/>
        <v>832</v>
      </c>
      <c r="AL114" s="1352">
        <f>S114-AK114</f>
        <v>-248</v>
      </c>
      <c r="AM114" s="623">
        <v>15</v>
      </c>
      <c r="AN114" s="373">
        <f>308+(23)+AM114</f>
        <v>346</v>
      </c>
      <c r="AO114" s="816">
        <f>Z114-AN114</f>
        <v>-197</v>
      </c>
      <c r="AP114" s="1130"/>
      <c r="AQ114" s="1014" t="s">
        <v>669</v>
      </c>
      <c r="AR114" s="921">
        <f>H114</f>
        <v>37.260000000000005</v>
      </c>
      <c r="AS114" s="921">
        <f>Z114</f>
        <v>149</v>
      </c>
      <c r="AT114" s="921">
        <f t="shared" si="245"/>
        <v>346</v>
      </c>
      <c r="AU114" s="733">
        <f t="shared" si="246"/>
        <v>367.8</v>
      </c>
      <c r="AV114" s="922">
        <f>AL114</f>
        <v>-248</v>
      </c>
      <c r="BE114" s="1623">
        <f t="shared" si="248"/>
        <v>15</v>
      </c>
      <c r="BK114" s="299">
        <v>1</v>
      </c>
      <c r="BL114" s="299"/>
    </row>
    <row r="115" spans="1:72" s="825" customFormat="1" ht="16" customHeight="1">
      <c r="A115" s="936">
        <f t="shared" si="249"/>
        <v>39</v>
      </c>
      <c r="B115" s="918">
        <f>B114+1</f>
        <v>16</v>
      </c>
      <c r="C115" s="1015" t="s">
        <v>670</v>
      </c>
      <c r="D115" s="1346">
        <v>116</v>
      </c>
      <c r="E115" s="1347">
        <f t="shared" ref="E115" si="257">2*D115</f>
        <v>232</v>
      </c>
      <c r="F115" s="1347">
        <f>2*122</f>
        <v>244</v>
      </c>
      <c r="G115" s="656">
        <f t="shared" si="250"/>
        <v>280.59999999999997</v>
      </c>
      <c r="H115" s="816">
        <f t="shared" ref="H115" si="258">(E115*0.23)</f>
        <v>53.36</v>
      </c>
      <c r="I115" s="373">
        <f t="shared" ref="I115" si="259">0.5*(H115*1.1)</f>
        <v>29.348000000000003</v>
      </c>
      <c r="J115" s="617">
        <v>66</v>
      </c>
      <c r="K115" s="617">
        <v>15</v>
      </c>
      <c r="L115" s="617">
        <f>200-10</f>
        <v>190</v>
      </c>
      <c r="M115" s="969" t="s">
        <v>12</v>
      </c>
      <c r="N115" s="969" t="s">
        <v>12</v>
      </c>
      <c r="O115" s="969" t="s">
        <v>12</v>
      </c>
      <c r="P115" s="969" t="s">
        <v>12</v>
      </c>
      <c r="Q115" s="1317">
        <f t="shared" ref="Q115" si="260">SUM(J115:P115)</f>
        <v>271</v>
      </c>
      <c r="R115" s="919">
        <f t="shared" si="251"/>
        <v>542</v>
      </c>
      <c r="S115" s="920">
        <f t="shared" si="252"/>
        <v>684</v>
      </c>
      <c r="T115" s="865">
        <v>62</v>
      </c>
      <c r="U115" s="865">
        <v>1</v>
      </c>
      <c r="V115" s="649" t="s">
        <v>12</v>
      </c>
      <c r="W115" s="649" t="s">
        <v>12</v>
      </c>
      <c r="X115" s="624">
        <f t="shared" ref="X115" si="261">SUM(T115:W115)</f>
        <v>63</v>
      </c>
      <c r="Y115" s="543">
        <f t="shared" si="253"/>
        <v>126</v>
      </c>
      <c r="Z115" s="525">
        <f t="shared" si="254"/>
        <v>149</v>
      </c>
      <c r="AA115" s="624">
        <f t="shared" ref="AA115" si="262">Z115-H115</f>
        <v>95.64</v>
      </c>
      <c r="AB115" s="653">
        <f t="shared" ref="AB115" si="263">Z115-I115</f>
        <v>119.652</v>
      </c>
      <c r="AC115" s="1431">
        <f>171-48</f>
        <v>123</v>
      </c>
      <c r="AD115" s="1024">
        <f t="shared" ref="AD115" si="264">33.89+(0.2095*AC115)</f>
        <v>59.658500000000004</v>
      </c>
      <c r="AE115" s="624">
        <f t="shared" ref="AE115" si="265">X115-T115+AD115</f>
        <v>60.658500000000004</v>
      </c>
      <c r="AF115" s="322">
        <f t="shared" si="255"/>
        <v>121.31700000000001</v>
      </c>
      <c r="AG115" s="323">
        <f t="shared" si="256"/>
        <v>144.31700000000001</v>
      </c>
      <c r="AH115" s="653">
        <f t="shared" ref="AH115" si="266">AG115-I115</f>
        <v>114.96900000000001</v>
      </c>
      <c r="AI115" s="1261" t="s">
        <v>769</v>
      </c>
      <c r="AJ115" s="1262">
        <v>300</v>
      </c>
      <c r="AK115" s="1262">
        <f t="shared" si="243"/>
        <v>832</v>
      </c>
      <c r="AL115" s="1352">
        <f>S115-AK115</f>
        <v>-148</v>
      </c>
      <c r="AM115" s="623">
        <v>15</v>
      </c>
      <c r="AN115" s="373">
        <f>308+(23)+AM115</f>
        <v>346</v>
      </c>
      <c r="AO115" s="816">
        <f>Z115-AN115</f>
        <v>-197</v>
      </c>
      <c r="AP115" s="1130"/>
      <c r="AQ115" s="1015" t="s">
        <v>671</v>
      </c>
      <c r="AR115" s="921">
        <f>H115</f>
        <v>53.36</v>
      </c>
      <c r="AS115" s="921">
        <f>Z115</f>
        <v>149</v>
      </c>
      <c r="AT115" s="921">
        <f t="shared" si="245"/>
        <v>346</v>
      </c>
      <c r="AU115" s="733">
        <f t="shared" si="246"/>
        <v>403.40000000000003</v>
      </c>
      <c r="AV115" s="922">
        <f>AL115</f>
        <v>-148</v>
      </c>
      <c r="BE115" s="1623">
        <f t="shared" si="248"/>
        <v>16</v>
      </c>
      <c r="BK115" s="299">
        <v>1</v>
      </c>
      <c r="BL115" s="299"/>
    </row>
    <row r="116" spans="1:72" s="825" customFormat="1" ht="16" customHeight="1">
      <c r="A116" s="936">
        <f t="shared" si="249"/>
        <v>40</v>
      </c>
      <c r="B116" s="918">
        <f>B115+1</f>
        <v>17</v>
      </c>
      <c r="C116" s="860" t="s">
        <v>917</v>
      </c>
      <c r="D116" s="1346">
        <v>93</v>
      </c>
      <c r="E116" s="1347">
        <f>2*D116</f>
        <v>186</v>
      </c>
      <c r="F116" s="1347">
        <f>2*127</f>
        <v>254</v>
      </c>
      <c r="G116" s="656">
        <f>F116*1.15</f>
        <v>292.09999999999997</v>
      </c>
      <c r="H116" s="816">
        <f>(E116*0.23)</f>
        <v>42.78</v>
      </c>
      <c r="I116" s="373">
        <f>0.5*(H116*1.1)</f>
        <v>23.529000000000003</v>
      </c>
      <c r="J116" s="617">
        <f t="shared" si="247"/>
        <v>107</v>
      </c>
      <c r="K116" s="617">
        <f>15+15</f>
        <v>30</v>
      </c>
      <c r="L116" s="617">
        <f>200-120</f>
        <v>80</v>
      </c>
      <c r="M116" s="969" t="s">
        <v>12</v>
      </c>
      <c r="N116" s="969" t="s">
        <v>12</v>
      </c>
      <c r="O116" s="969" t="s">
        <v>12</v>
      </c>
      <c r="P116" s="969" t="s">
        <v>12</v>
      </c>
      <c r="Q116" s="1317">
        <f>SUM(J116:P116)</f>
        <v>217</v>
      </c>
      <c r="R116" s="919">
        <f>2*Q116</f>
        <v>434</v>
      </c>
      <c r="S116" s="920">
        <f>R116+(2*71)</f>
        <v>576</v>
      </c>
      <c r="T116" s="865">
        <v>70</v>
      </c>
      <c r="U116" s="865">
        <v>1</v>
      </c>
      <c r="V116" s="649" t="s">
        <v>12</v>
      </c>
      <c r="W116" s="649" t="s">
        <v>12</v>
      </c>
      <c r="X116" s="624">
        <f>SUM(T116:W116)</f>
        <v>71</v>
      </c>
      <c r="Y116" s="543">
        <f>2*X116</f>
        <v>142</v>
      </c>
      <c r="Z116" s="525">
        <f>Y116+(23)</f>
        <v>165</v>
      </c>
      <c r="AA116" s="624">
        <f>Z116-H116</f>
        <v>122.22</v>
      </c>
      <c r="AB116" s="653">
        <f>Z116-I116</f>
        <v>141.471</v>
      </c>
      <c r="AC116" s="1431">
        <v>171</v>
      </c>
      <c r="AD116" s="1024">
        <f>33.89+(0.2095*AC116)</f>
        <v>69.714500000000001</v>
      </c>
      <c r="AE116" s="624">
        <f>X116-T116+AD116</f>
        <v>70.714500000000001</v>
      </c>
      <c r="AF116" s="322">
        <f>2*AE116</f>
        <v>141.429</v>
      </c>
      <c r="AG116" s="323">
        <f>AF116+(23)</f>
        <v>164.429</v>
      </c>
      <c r="AH116" s="653">
        <f>AG116-I116</f>
        <v>140.9</v>
      </c>
      <c r="AI116" s="1261" t="s">
        <v>770</v>
      </c>
      <c r="AJ116" s="1262">
        <v>53</v>
      </c>
      <c r="AK116" s="1352">
        <f>(2*AJ116)+(2*71)+(2*45)</f>
        <v>338</v>
      </c>
      <c r="AL116" s="1352">
        <f>S116-AK116</f>
        <v>238</v>
      </c>
      <c r="AM116" s="623">
        <v>31</v>
      </c>
      <c r="AN116" s="373">
        <f>189+(23)+AM116</f>
        <v>243</v>
      </c>
      <c r="AO116" s="816">
        <f>Z116-AN116</f>
        <v>-78</v>
      </c>
      <c r="AP116" s="1130"/>
      <c r="AQ116" s="860" t="s">
        <v>715</v>
      </c>
      <c r="AR116" s="921">
        <f>H116</f>
        <v>42.78</v>
      </c>
      <c r="AS116" s="921">
        <f>Z116</f>
        <v>165</v>
      </c>
      <c r="AT116" s="921">
        <f t="shared" si="245"/>
        <v>243</v>
      </c>
      <c r="AU116" s="733">
        <f t="shared" si="246"/>
        <v>283.90000000000003</v>
      </c>
      <c r="AV116" s="922">
        <f>AL116</f>
        <v>238</v>
      </c>
      <c r="BE116" s="1623">
        <f t="shared" si="248"/>
        <v>17</v>
      </c>
      <c r="BK116" s="299">
        <v>1</v>
      </c>
      <c r="BL116" s="299"/>
    </row>
    <row r="117" spans="1:72" ht="317" customHeight="1">
      <c r="C117" s="1200" t="s">
        <v>899</v>
      </c>
      <c r="D117" s="1817" t="s">
        <v>900</v>
      </c>
      <c r="E117" s="1688"/>
      <c r="F117" s="1294" t="s">
        <v>903</v>
      </c>
      <c r="G117" s="1296" t="s">
        <v>904</v>
      </c>
      <c r="H117" s="1238" t="s">
        <v>345</v>
      </c>
      <c r="I117" s="996"/>
      <c r="J117" s="1668" t="s">
        <v>1231</v>
      </c>
      <c r="K117" s="1667" t="s">
        <v>1233</v>
      </c>
      <c r="L117" s="1667" t="s">
        <v>1232</v>
      </c>
      <c r="M117" s="1290"/>
      <c r="N117" s="1290"/>
      <c r="O117" s="1265"/>
      <c r="P117" s="1265"/>
      <c r="Q117" s="1265"/>
      <c r="R117" s="923"/>
      <c r="S117" s="1338" t="s">
        <v>983</v>
      </c>
      <c r="T117" s="1297" t="s">
        <v>672</v>
      </c>
      <c r="U117" s="1598" t="s">
        <v>919</v>
      </c>
      <c r="V117" s="171"/>
      <c r="W117" s="171"/>
      <c r="X117" s="52"/>
      <c r="Y117" s="118"/>
      <c r="Z117" s="1350" t="s">
        <v>976</v>
      </c>
      <c r="AA117" s="1009"/>
      <c r="AB117" s="1351" t="s">
        <v>673</v>
      </c>
      <c r="AC117" s="1340" t="s">
        <v>907</v>
      </c>
      <c r="AD117" s="1260" t="s">
        <v>674</v>
      </c>
      <c r="AE117" s="924"/>
      <c r="AF117" s="258"/>
      <c r="AG117" s="1350" t="s">
        <v>976</v>
      </c>
      <c r="AH117" s="925"/>
      <c r="AI117" s="1349"/>
      <c r="AJ117" s="1545" t="s">
        <v>1153</v>
      </c>
      <c r="AK117" s="1353"/>
      <c r="AL117" s="1596" t="s">
        <v>1199</v>
      </c>
      <c r="AM117" s="47"/>
      <c r="AN117" s="1291" t="s">
        <v>885</v>
      </c>
      <c r="AO117" s="171"/>
      <c r="AP117" s="1128"/>
      <c r="AQ117" s="614"/>
      <c r="AU117"/>
    </row>
    <row r="118" spans="1:72" ht="14" customHeight="1">
      <c r="C118" s="3"/>
      <c r="D118" s="89"/>
      <c r="E118" s="57"/>
      <c r="F118" s="57"/>
      <c r="G118" s="57"/>
      <c r="H118" s="62"/>
      <c r="I118" s="62"/>
      <c r="J118" s="165"/>
      <c r="L118" s="62"/>
      <c r="M118" s="314"/>
      <c r="N118" s="62"/>
      <c r="O118" s="62"/>
      <c r="P118" s="62"/>
      <c r="Q118" s="62"/>
      <c r="R118" s="147"/>
      <c r="S118" s="62"/>
      <c r="T118" s="430"/>
      <c r="U118" s="429"/>
      <c r="V118" s="62"/>
      <c r="W118" s="431"/>
      <c r="X118" s="62"/>
      <c r="Y118" s="47"/>
      <c r="Z118" s="47"/>
      <c r="AA118" s="314"/>
      <c r="AB118" s="432"/>
      <c r="AC118" s="324"/>
      <c r="AD118" s="325"/>
      <c r="AE118" s="62"/>
      <c r="AF118" s="47"/>
      <c r="AG118" s="47"/>
      <c r="AH118" s="74"/>
      <c r="AI118" s="74"/>
      <c r="AJ118" s="71"/>
      <c r="AK118" s="315"/>
      <c r="AL118" s="76"/>
      <c r="AM118" s="76"/>
      <c r="AN118" s="432"/>
      <c r="AO118" s="432"/>
      <c r="AQ118" s="314"/>
      <c r="AR118" s="314"/>
      <c r="AS118" s="314"/>
      <c r="AT118" s="789"/>
      <c r="AU118" s="314"/>
      <c r="AV118" s="511" t="s">
        <v>105</v>
      </c>
    </row>
    <row r="119" spans="1:72" s="14" customFormat="1" ht="15" customHeight="1">
      <c r="A119" s="927"/>
      <c r="B119" s="898"/>
      <c r="C119" s="1814"/>
      <c r="D119" s="1815"/>
      <c r="E119" s="1815"/>
      <c r="F119" s="1815"/>
      <c r="G119" s="1815"/>
      <c r="H119" s="1815"/>
      <c r="I119" s="1815"/>
      <c r="J119" s="1815"/>
      <c r="K119" s="1815"/>
      <c r="L119" s="1815"/>
      <c r="M119" s="1815"/>
      <c r="N119" s="1815"/>
      <c r="O119" s="1815"/>
      <c r="P119" s="1815"/>
      <c r="Q119" s="1815"/>
      <c r="R119" s="1815"/>
      <c r="S119" s="1815"/>
      <c r="T119" s="1816"/>
      <c r="U119" s="1816"/>
      <c r="V119" s="1816"/>
      <c r="W119" s="1816"/>
      <c r="X119" s="1816"/>
      <c r="Y119" s="1816"/>
      <c r="Z119" s="1816"/>
      <c r="AA119" s="1816"/>
      <c r="AB119" s="1816"/>
      <c r="AC119" s="1816"/>
      <c r="AD119" s="1816"/>
      <c r="AE119" s="1816"/>
      <c r="AF119" s="1816"/>
      <c r="AG119" s="1816"/>
      <c r="AH119" s="1816"/>
      <c r="AI119" s="1816"/>
      <c r="AJ119" s="1816"/>
      <c r="AK119" s="786"/>
      <c r="AL119" s="899"/>
      <c r="AM119" s="899"/>
      <c r="AN119" s="900"/>
      <c r="AO119" s="900"/>
      <c r="AP119" s="1116"/>
      <c r="AQ119" s="881"/>
      <c r="AR119" s="881"/>
      <c r="AS119" s="881"/>
      <c r="AT119" s="881"/>
      <c r="AU119" s="881"/>
      <c r="AV119" s="1604" t="s">
        <v>105</v>
      </c>
      <c r="BF119" s="199"/>
      <c r="BG119" s="199"/>
      <c r="BH119" s="199"/>
      <c r="BI119" s="199"/>
      <c r="BJ119" s="199"/>
      <c r="BK119" s="199"/>
      <c r="BL119" s="199"/>
      <c r="BM119" s="199"/>
      <c r="BN119" s="199"/>
      <c r="BO119" s="199"/>
      <c r="BP119" s="199"/>
      <c r="BQ119" s="199"/>
      <c r="BR119" s="199"/>
      <c r="BS119" s="199"/>
      <c r="BT119" s="199"/>
    </row>
    <row r="120" spans="1:72" ht="42" customHeight="1">
      <c r="B120" s="929" t="s">
        <v>165</v>
      </c>
      <c r="C120" s="1560" t="s">
        <v>35</v>
      </c>
      <c r="D120" s="1690" t="s">
        <v>168</v>
      </c>
      <c r="E120" s="1792"/>
      <c r="F120" s="1792"/>
      <c r="G120" s="1792"/>
      <c r="H120" s="1792"/>
      <c r="I120" s="1793"/>
      <c r="J120" s="1788" t="s">
        <v>645</v>
      </c>
      <c r="K120" s="1789"/>
      <c r="L120" s="1790"/>
      <c r="M120" s="1790"/>
      <c r="N120" s="1790"/>
      <c r="O120" s="1790"/>
      <c r="P120" s="1791"/>
      <c r="Q120" s="1790"/>
      <c r="R120" s="1684" t="s">
        <v>882</v>
      </c>
      <c r="S120" s="1779"/>
      <c r="T120" s="1880" t="s">
        <v>664</v>
      </c>
      <c r="U120" s="1881"/>
      <c r="V120" s="1881"/>
      <c r="W120" s="1881"/>
      <c r="X120" s="1881"/>
      <c r="Y120" s="1811" t="s">
        <v>648</v>
      </c>
      <c r="Z120" s="1812"/>
      <c r="AA120" s="1276"/>
      <c r="AB120" s="1276"/>
      <c r="AC120" s="1784" t="s">
        <v>162</v>
      </c>
      <c r="AD120" s="1785"/>
      <c r="AE120" s="1785"/>
      <c r="AF120" s="1782" t="s">
        <v>883</v>
      </c>
      <c r="AG120" s="1783"/>
      <c r="AH120" s="1276"/>
      <c r="AI120" s="1277"/>
      <c r="AJ120" s="1780" t="s">
        <v>167</v>
      </c>
      <c r="AK120" s="1780"/>
      <c r="AL120" s="1780"/>
      <c r="AM120" s="1780"/>
      <c r="AN120" s="1842"/>
      <c r="AO120" s="244"/>
      <c r="AQ120" s="314"/>
      <c r="AR120" s="314"/>
      <c r="AS120" s="314"/>
      <c r="AT120" s="789"/>
      <c r="AU120" s="314"/>
      <c r="AV120" s="314"/>
    </row>
    <row r="121" spans="1:72" ht="15" customHeight="1">
      <c r="C121" s="505"/>
      <c r="D121" s="207">
        <v>1</v>
      </c>
      <c r="E121" s="164">
        <f t="shared" ref="E121:W121" si="267">D121+1</f>
        <v>2</v>
      </c>
      <c r="F121" s="164">
        <f t="shared" si="267"/>
        <v>3</v>
      </c>
      <c r="G121" s="164">
        <f t="shared" si="267"/>
        <v>4</v>
      </c>
      <c r="H121" s="164">
        <f t="shared" si="267"/>
        <v>5</v>
      </c>
      <c r="I121" s="163">
        <f t="shared" si="267"/>
        <v>6</v>
      </c>
      <c r="J121" s="164">
        <f t="shared" si="267"/>
        <v>7</v>
      </c>
      <c r="K121" s="164">
        <f t="shared" si="267"/>
        <v>8</v>
      </c>
      <c r="L121" s="164">
        <f t="shared" si="267"/>
        <v>9</v>
      </c>
      <c r="M121" s="164">
        <f t="shared" si="267"/>
        <v>10</v>
      </c>
      <c r="N121" s="164">
        <f t="shared" si="267"/>
        <v>11</v>
      </c>
      <c r="O121" s="164">
        <f t="shared" si="267"/>
        <v>12</v>
      </c>
      <c r="P121" s="164">
        <f t="shared" si="267"/>
        <v>13</v>
      </c>
      <c r="Q121" s="164">
        <f t="shared" si="267"/>
        <v>14</v>
      </c>
      <c r="R121" s="914">
        <f t="shared" si="267"/>
        <v>15</v>
      </c>
      <c r="S121" s="915">
        <f t="shared" si="267"/>
        <v>16</v>
      </c>
      <c r="T121" s="10">
        <f t="shared" si="267"/>
        <v>17</v>
      </c>
      <c r="U121" s="10">
        <f t="shared" si="267"/>
        <v>18</v>
      </c>
      <c r="V121" s="10">
        <f t="shared" si="267"/>
        <v>19</v>
      </c>
      <c r="W121" s="10">
        <f t="shared" si="267"/>
        <v>20</v>
      </c>
      <c r="X121" s="10">
        <f t="shared" ref="X121:AC121" si="268">W121+1</f>
        <v>21</v>
      </c>
      <c r="Y121" s="914">
        <f t="shared" si="268"/>
        <v>22</v>
      </c>
      <c r="Z121" s="915">
        <f t="shared" si="268"/>
        <v>23</v>
      </c>
      <c r="AA121" s="164">
        <f t="shared" si="268"/>
        <v>24</v>
      </c>
      <c r="AB121" s="164">
        <f t="shared" si="268"/>
        <v>25</v>
      </c>
      <c r="AC121" s="207">
        <f t="shared" si="268"/>
        <v>26</v>
      </c>
      <c r="AD121" s="207">
        <f t="shared" ref="AD121:AO121" si="269">AC121+1</f>
        <v>27</v>
      </c>
      <c r="AE121" s="163">
        <f t="shared" si="269"/>
        <v>28</v>
      </c>
      <c r="AF121" s="824">
        <f t="shared" si="269"/>
        <v>29</v>
      </c>
      <c r="AG121" s="824">
        <f t="shared" si="269"/>
        <v>30</v>
      </c>
      <c r="AH121" s="207">
        <f t="shared" si="269"/>
        <v>31</v>
      </c>
      <c r="AI121" s="109">
        <f>AH121+1</f>
        <v>32</v>
      </c>
      <c r="AJ121" s="50">
        <f>AI121+1</f>
        <v>33</v>
      </c>
      <c r="AK121" s="164">
        <f t="shared" si="269"/>
        <v>34</v>
      </c>
      <c r="AL121" s="164">
        <f t="shared" si="269"/>
        <v>35</v>
      </c>
      <c r="AM121" s="164">
        <f>AL121+1</f>
        <v>36</v>
      </c>
      <c r="AN121" s="163">
        <f>AM121+1</f>
        <v>37</v>
      </c>
      <c r="AO121" s="207">
        <f t="shared" si="269"/>
        <v>38</v>
      </c>
      <c r="AQ121" s="314"/>
      <c r="AR121" s="314"/>
      <c r="AS121" s="314"/>
      <c r="AT121" s="789"/>
      <c r="AU121" s="314"/>
      <c r="AV121" s="314"/>
    </row>
    <row r="122" spans="1:72" ht="120" customHeight="1">
      <c r="B122" s="441"/>
      <c r="C122" s="1311" t="s">
        <v>901</v>
      </c>
      <c r="D122" s="1234" t="s">
        <v>284</v>
      </c>
      <c r="E122" s="1235" t="s">
        <v>296</v>
      </c>
      <c r="F122" s="1235" t="s">
        <v>286</v>
      </c>
      <c r="G122" s="1240" t="s">
        <v>234</v>
      </c>
      <c r="H122" s="805" t="s">
        <v>247</v>
      </c>
      <c r="I122" s="1002" t="s">
        <v>604</v>
      </c>
      <c r="J122" s="1240" t="s">
        <v>302</v>
      </c>
      <c r="K122" s="1240" t="s">
        <v>988</v>
      </c>
      <c r="L122" s="1240" t="s">
        <v>989</v>
      </c>
      <c r="M122" s="1286" t="s">
        <v>991</v>
      </c>
      <c r="N122" s="1240" t="s">
        <v>419</v>
      </c>
      <c r="O122" s="1240" t="s">
        <v>303</v>
      </c>
      <c r="P122" s="1240" t="s">
        <v>304</v>
      </c>
      <c r="Q122" s="1286" t="s">
        <v>415</v>
      </c>
      <c r="R122" s="602" t="s">
        <v>257</v>
      </c>
      <c r="S122" s="400" t="s">
        <v>363</v>
      </c>
      <c r="T122" s="1010" t="s">
        <v>305</v>
      </c>
      <c r="U122" s="1010" t="s">
        <v>421</v>
      </c>
      <c r="V122" s="1010" t="s">
        <v>306</v>
      </c>
      <c r="W122" s="1010" t="s">
        <v>307</v>
      </c>
      <c r="X122" s="872" t="s">
        <v>262</v>
      </c>
      <c r="Y122" s="523" t="s">
        <v>995</v>
      </c>
      <c r="Z122" s="599" t="s">
        <v>996</v>
      </c>
      <c r="AA122" s="1010" t="s">
        <v>265</v>
      </c>
      <c r="AB122" s="1010" t="s">
        <v>266</v>
      </c>
      <c r="AC122" s="1239" t="s">
        <v>627</v>
      </c>
      <c r="AD122" s="1010" t="s">
        <v>268</v>
      </c>
      <c r="AE122" s="1010" t="s">
        <v>269</v>
      </c>
      <c r="AF122" s="186" t="s">
        <v>344</v>
      </c>
      <c r="AG122" s="600" t="s">
        <v>270</v>
      </c>
      <c r="AH122" s="1013" t="s">
        <v>294</v>
      </c>
      <c r="AI122" s="1266" t="s">
        <v>812</v>
      </c>
      <c r="AJ122" s="1267" t="s">
        <v>809</v>
      </c>
      <c r="AK122" s="1546" t="s">
        <v>14</v>
      </c>
      <c r="AL122" s="1269" t="s">
        <v>295</v>
      </c>
      <c r="AM122" s="1010" t="s">
        <v>810</v>
      </c>
      <c r="AN122" s="1002" t="s">
        <v>746</v>
      </c>
      <c r="AO122" s="266" t="s">
        <v>272</v>
      </c>
      <c r="AQ122" s="1311" t="s">
        <v>566</v>
      </c>
      <c r="AR122" s="805" t="s">
        <v>357</v>
      </c>
      <c r="AS122" s="988" t="s">
        <v>273</v>
      </c>
      <c r="AT122" s="806" t="s">
        <v>567</v>
      </c>
      <c r="AU122" s="1008" t="s">
        <v>811</v>
      </c>
      <c r="AV122" s="1008" t="s">
        <v>745</v>
      </c>
      <c r="BE122" s="1149" t="s">
        <v>822</v>
      </c>
    </row>
    <row r="123" spans="1:72" ht="15" customHeight="1">
      <c r="A123" s="928">
        <f>A116+1</f>
        <v>41</v>
      </c>
      <c r="B123" s="886">
        <f>B116+1</f>
        <v>18</v>
      </c>
      <c r="C123" s="67" t="s">
        <v>128</v>
      </c>
      <c r="D123" s="1346">
        <v>177</v>
      </c>
      <c r="E123" s="1347">
        <f>2*D123</f>
        <v>354</v>
      </c>
      <c r="F123" s="1347">
        <f>2*171</f>
        <v>342</v>
      </c>
      <c r="G123" s="1354">
        <f>F123*1.15</f>
        <v>393.29999999999995</v>
      </c>
      <c r="H123" s="449">
        <f>E123*0.23</f>
        <v>81.42</v>
      </c>
      <c r="I123" s="450">
        <f>0.5*(H123*1.1)</f>
        <v>44.781000000000006</v>
      </c>
      <c r="J123" s="1355">
        <v>12</v>
      </c>
      <c r="K123" s="1355">
        <f>10+15</f>
        <v>25</v>
      </c>
      <c r="L123" s="1355">
        <v>98</v>
      </c>
      <c r="M123" s="671" t="s">
        <v>13</v>
      </c>
      <c r="N123" s="671" t="s">
        <v>13</v>
      </c>
      <c r="O123" s="671" t="s">
        <v>13</v>
      </c>
      <c r="P123" s="671" t="s">
        <v>13</v>
      </c>
      <c r="Q123" s="1355">
        <f>SUM(J123:P123)</f>
        <v>135</v>
      </c>
      <c r="R123" s="435">
        <f>2*Q123</f>
        <v>270</v>
      </c>
      <c r="S123" s="705">
        <f>R123+(2*71)</f>
        <v>412</v>
      </c>
      <c r="T123" s="706">
        <v>3.45</v>
      </c>
      <c r="U123" s="1026">
        <v>74</v>
      </c>
      <c r="V123" s="707" t="s">
        <v>13</v>
      </c>
      <c r="W123" s="707" t="s">
        <v>13</v>
      </c>
      <c r="X123" s="708">
        <f>SUM(T123:W123)</f>
        <v>77.45</v>
      </c>
      <c r="Y123" s="529">
        <f>2*X123</f>
        <v>154.9</v>
      </c>
      <c r="Z123" s="530">
        <f>Y123+(23)</f>
        <v>177.9</v>
      </c>
      <c r="AA123" s="709">
        <f>Z123-H123</f>
        <v>96.48</v>
      </c>
      <c r="AB123" s="653">
        <f>Z123-I123</f>
        <v>133.119</v>
      </c>
      <c r="AC123" s="609">
        <f>10+199</f>
        <v>209</v>
      </c>
      <c r="AD123" s="708">
        <f>(33.89)+(AC123*0.2095)</f>
        <v>77.6755</v>
      </c>
      <c r="AE123" s="710">
        <f>X123-U123+AD123</f>
        <v>81.125500000000002</v>
      </c>
      <c r="AF123" s="439">
        <f>2*AE123</f>
        <v>162.251</v>
      </c>
      <c r="AG123" s="440">
        <f>AF123+(23)</f>
        <v>185.251</v>
      </c>
      <c r="AH123" s="655">
        <f>AG123-I123</f>
        <v>140.47</v>
      </c>
      <c r="AI123" s="1357" t="s">
        <v>896</v>
      </c>
      <c r="AJ123" s="617">
        <v>60</v>
      </c>
      <c r="AK123" s="673">
        <f>(2*AJ123)+(2*71)+(2*45)</f>
        <v>352</v>
      </c>
      <c r="AL123" s="969">
        <f>S123-AK123</f>
        <v>60</v>
      </c>
      <c r="AM123" s="623">
        <v>15</v>
      </c>
      <c r="AN123" s="451">
        <f>523+(23)+AM123</f>
        <v>561</v>
      </c>
      <c r="AO123" s="449">
        <f>Z123-AN123</f>
        <v>-383.1</v>
      </c>
      <c r="AQ123" s="67" t="s">
        <v>565</v>
      </c>
      <c r="AR123" s="276">
        <f>H123</f>
        <v>81.42</v>
      </c>
      <c r="AS123" s="183">
        <f>Z123</f>
        <v>177.9</v>
      </c>
      <c r="AT123" s="183">
        <f>AN123</f>
        <v>561</v>
      </c>
      <c r="AU123" s="733">
        <f t="shared" ref="AU123:AU127" si="270">S123-G123</f>
        <v>18.700000000000045</v>
      </c>
      <c r="AV123" s="460">
        <f>S123-AK123</f>
        <v>60</v>
      </c>
      <c r="BE123" s="1623">
        <f>B123</f>
        <v>18</v>
      </c>
      <c r="BK123" s="299">
        <v>1</v>
      </c>
      <c r="BL123" s="299"/>
    </row>
    <row r="124" spans="1:72" ht="15" customHeight="1">
      <c r="A124" s="928">
        <f>A123+1</f>
        <v>42</v>
      </c>
      <c r="B124" s="886">
        <f>B123+1</f>
        <v>19</v>
      </c>
      <c r="C124" s="67" t="s">
        <v>129</v>
      </c>
      <c r="D124" s="1346">
        <v>206</v>
      </c>
      <c r="E124" s="1347">
        <f>2*D124</f>
        <v>412</v>
      </c>
      <c r="F124" s="1347">
        <f>2*190</f>
        <v>380</v>
      </c>
      <c r="G124" s="1354">
        <f>F124*1.15</f>
        <v>436.99999999999994</v>
      </c>
      <c r="H124" s="449">
        <f t="shared" ref="H124:H127" si="271">E124*0.23</f>
        <v>94.76</v>
      </c>
      <c r="I124" s="450">
        <f t="shared" ref="I124:I127" si="272">0.5*(H124*1.1)</f>
        <v>52.118000000000009</v>
      </c>
      <c r="J124" s="1355">
        <v>12</v>
      </c>
      <c r="K124" s="1355">
        <f t="shared" ref="K124:K127" si="273">10+15</f>
        <v>25</v>
      </c>
      <c r="L124" s="1355">
        <v>144</v>
      </c>
      <c r="M124" s="1307" t="s">
        <v>13</v>
      </c>
      <c r="N124" s="1307" t="s">
        <v>13</v>
      </c>
      <c r="O124" s="671" t="s">
        <v>13</v>
      </c>
      <c r="P124" s="671" t="s">
        <v>13</v>
      </c>
      <c r="Q124" s="1355">
        <f>SUM(J124:P124)</f>
        <v>181</v>
      </c>
      <c r="R124" s="435">
        <f>2*Q124</f>
        <v>362</v>
      </c>
      <c r="S124" s="705">
        <f>R124+(2*71)</f>
        <v>504</v>
      </c>
      <c r="T124" s="706">
        <v>3.45</v>
      </c>
      <c r="U124" s="1026">
        <v>82</v>
      </c>
      <c r="V124" s="707" t="s">
        <v>13</v>
      </c>
      <c r="W124" s="707" t="s">
        <v>13</v>
      </c>
      <c r="X124" s="708">
        <f>SUM(T124:W124)</f>
        <v>85.45</v>
      </c>
      <c r="Y124" s="529">
        <f>2*X124</f>
        <v>170.9</v>
      </c>
      <c r="Z124" s="530">
        <f>Y124+(23)</f>
        <v>193.9</v>
      </c>
      <c r="AA124" s="709">
        <f>Z124-H124</f>
        <v>99.14</v>
      </c>
      <c r="AB124" s="653">
        <f>Z124-I124</f>
        <v>141.78199999999998</v>
      </c>
      <c r="AC124" s="609">
        <v>253</v>
      </c>
      <c r="AD124" s="708">
        <f t="shared" ref="AD124:AD127" si="274">(33.89)+(AC124*0.2095)</f>
        <v>86.893499999999989</v>
      </c>
      <c r="AE124" s="710">
        <f>X124-U124+AD124</f>
        <v>90.343499999999992</v>
      </c>
      <c r="AF124" s="439">
        <f>2*AE124</f>
        <v>180.68699999999998</v>
      </c>
      <c r="AG124" s="440">
        <f>AF124+(23)</f>
        <v>203.68699999999998</v>
      </c>
      <c r="AH124" s="655">
        <f>AG124-I124</f>
        <v>151.56899999999996</v>
      </c>
      <c r="AI124" s="1357" t="s">
        <v>896</v>
      </c>
      <c r="AJ124" s="617">
        <v>60</v>
      </c>
      <c r="AK124" s="673">
        <f>(2*AJ124)+(2*71)+(2*45)</f>
        <v>352</v>
      </c>
      <c r="AL124" s="969">
        <f>S124-AK124</f>
        <v>152</v>
      </c>
      <c r="AM124" s="623">
        <f>15+15</f>
        <v>30</v>
      </c>
      <c r="AN124" s="451">
        <f>523+(23)+AM124</f>
        <v>576</v>
      </c>
      <c r="AO124" s="449">
        <f>Z124-AN124</f>
        <v>-382.1</v>
      </c>
      <c r="AQ124" s="67" t="s">
        <v>131</v>
      </c>
      <c r="AR124" s="276">
        <f>H124</f>
        <v>94.76</v>
      </c>
      <c r="AS124" s="183">
        <f>Z124</f>
        <v>193.9</v>
      </c>
      <c r="AT124" s="183">
        <f t="shared" ref="AT124:AT127" si="275">AN124</f>
        <v>576</v>
      </c>
      <c r="AU124" s="733">
        <f t="shared" si="270"/>
        <v>67.000000000000057</v>
      </c>
      <c r="AV124" s="460">
        <f>S124-AK124</f>
        <v>152</v>
      </c>
      <c r="BE124" s="1623">
        <f t="shared" ref="BE124:BE127" si="276">B124</f>
        <v>19</v>
      </c>
      <c r="BK124" s="299">
        <v>1</v>
      </c>
      <c r="BL124" s="299"/>
    </row>
    <row r="125" spans="1:72" ht="15" customHeight="1">
      <c r="A125" s="928">
        <f t="shared" ref="A125:A127" si="277">A124+1</f>
        <v>43</v>
      </c>
      <c r="B125" s="886">
        <f>B124+1</f>
        <v>20</v>
      </c>
      <c r="C125" s="67" t="s">
        <v>926</v>
      </c>
      <c r="D125" s="1346">
        <v>123</v>
      </c>
      <c r="E125" s="1347">
        <f>2*D125</f>
        <v>246</v>
      </c>
      <c r="F125" s="1347">
        <f>2*122</f>
        <v>244</v>
      </c>
      <c r="G125" s="1354">
        <f>F125*1.15</f>
        <v>280.59999999999997</v>
      </c>
      <c r="H125" s="449">
        <f t="shared" si="271"/>
        <v>56.580000000000005</v>
      </c>
      <c r="I125" s="450">
        <f t="shared" si="272"/>
        <v>31.119000000000007</v>
      </c>
      <c r="J125" s="1355">
        <v>12</v>
      </c>
      <c r="K125" s="1355">
        <f t="shared" si="273"/>
        <v>25</v>
      </c>
      <c r="L125" s="1355">
        <f>(66+41)</f>
        <v>107</v>
      </c>
      <c r="M125" s="1356">
        <v>15</v>
      </c>
      <c r="N125" s="1355">
        <v>15</v>
      </c>
      <c r="O125" s="671" t="s">
        <v>13</v>
      </c>
      <c r="P125" s="671" t="s">
        <v>13</v>
      </c>
      <c r="Q125" s="1355">
        <f>SUM(J125:P125)</f>
        <v>174</v>
      </c>
      <c r="R125" s="435">
        <f>2*Q125</f>
        <v>348</v>
      </c>
      <c r="S125" s="705">
        <f>R125+(2*71)</f>
        <v>490</v>
      </c>
      <c r="T125" s="706">
        <v>3.45</v>
      </c>
      <c r="U125" s="1026">
        <v>62</v>
      </c>
      <c r="V125" s="707" t="s">
        <v>13</v>
      </c>
      <c r="W125" s="707" t="s">
        <v>13</v>
      </c>
      <c r="X125" s="708">
        <f>SUM(T125:W125)</f>
        <v>65.45</v>
      </c>
      <c r="Y125" s="529">
        <f>2*X125</f>
        <v>130.9</v>
      </c>
      <c r="Z125" s="530">
        <f>Y125+(23)</f>
        <v>153.9</v>
      </c>
      <c r="AA125" s="709">
        <f>Z125-H125</f>
        <v>97.32</v>
      </c>
      <c r="AB125" s="653">
        <f>Z125-I125</f>
        <v>122.78100000000001</v>
      </c>
      <c r="AC125" s="609">
        <f>10+199+59</f>
        <v>268</v>
      </c>
      <c r="AD125" s="708">
        <f t="shared" si="274"/>
        <v>90.036000000000001</v>
      </c>
      <c r="AE125" s="710">
        <f>X125-U125+AD125</f>
        <v>93.486000000000004</v>
      </c>
      <c r="AF125" s="439">
        <f>2*AE125</f>
        <v>186.97200000000001</v>
      </c>
      <c r="AG125" s="440">
        <f>AF125+(23)</f>
        <v>209.97200000000001</v>
      </c>
      <c r="AH125" s="655">
        <f>AG125-I125</f>
        <v>178.85300000000001</v>
      </c>
      <c r="AI125" s="1357" t="s">
        <v>896</v>
      </c>
      <c r="AJ125" s="617">
        <v>60</v>
      </c>
      <c r="AK125" s="673">
        <f>(2*AJ125)+(2*71)+(2*45)</f>
        <v>352</v>
      </c>
      <c r="AL125" s="969">
        <f>S125-AK125</f>
        <v>138</v>
      </c>
      <c r="AM125" s="623">
        <f>15+31</f>
        <v>46</v>
      </c>
      <c r="AN125" s="451">
        <f>523+23+AM125</f>
        <v>592</v>
      </c>
      <c r="AO125" s="449">
        <f>Z125-AN125</f>
        <v>-438.1</v>
      </c>
      <c r="AQ125" s="67" t="s">
        <v>132</v>
      </c>
      <c r="AR125" s="276">
        <f>H125</f>
        <v>56.580000000000005</v>
      </c>
      <c r="AS125" s="183">
        <f>Z125</f>
        <v>153.9</v>
      </c>
      <c r="AT125" s="183">
        <f t="shared" si="275"/>
        <v>592</v>
      </c>
      <c r="AU125" s="733">
        <f t="shared" si="270"/>
        <v>209.40000000000003</v>
      </c>
      <c r="AV125" s="460">
        <f>S125-AK125</f>
        <v>138</v>
      </c>
      <c r="BE125" s="1623">
        <f t="shared" si="276"/>
        <v>20</v>
      </c>
      <c r="BK125" s="299">
        <v>1</v>
      </c>
      <c r="BL125" s="299"/>
    </row>
    <row r="126" spans="1:72" ht="15" customHeight="1">
      <c r="A126" s="928">
        <f t="shared" si="277"/>
        <v>44</v>
      </c>
      <c r="B126" s="879">
        <f>B105+1</f>
        <v>24</v>
      </c>
      <c r="C126" s="67" t="s">
        <v>130</v>
      </c>
      <c r="D126" s="1346">
        <v>272</v>
      </c>
      <c r="E126" s="1347">
        <f>2*D126</f>
        <v>544</v>
      </c>
      <c r="F126" s="1347">
        <f>2*248</f>
        <v>496</v>
      </c>
      <c r="G126" s="1354">
        <f>F126*1.15</f>
        <v>570.4</v>
      </c>
      <c r="H126" s="449">
        <f t="shared" si="271"/>
        <v>125.12</v>
      </c>
      <c r="I126" s="450">
        <f t="shared" si="272"/>
        <v>68.816000000000003</v>
      </c>
      <c r="J126" s="1355">
        <v>12</v>
      </c>
      <c r="K126" s="1355">
        <f t="shared" si="273"/>
        <v>25</v>
      </c>
      <c r="L126" s="1355">
        <v>143</v>
      </c>
      <c r="M126" s="1307" t="s">
        <v>13</v>
      </c>
      <c r="N126" s="1307" t="s">
        <v>13</v>
      </c>
      <c r="O126" s="1307" t="s">
        <v>13</v>
      </c>
      <c r="P126" s="1307" t="s">
        <v>13</v>
      </c>
      <c r="Q126" s="1355">
        <f>SUM(J126:P126)</f>
        <v>180</v>
      </c>
      <c r="R126" s="435">
        <f>2*Q126</f>
        <v>360</v>
      </c>
      <c r="S126" s="705">
        <f>R126+(2*71)</f>
        <v>502</v>
      </c>
      <c r="T126" s="706">
        <v>3.45</v>
      </c>
      <c r="U126" s="1026">
        <v>93</v>
      </c>
      <c r="V126" s="707" t="s">
        <v>13</v>
      </c>
      <c r="W126" s="707" t="s">
        <v>13</v>
      </c>
      <c r="X126" s="708">
        <f>SUM(T126:W126)</f>
        <v>96.45</v>
      </c>
      <c r="Y126" s="529">
        <f>2*X126</f>
        <v>192.9</v>
      </c>
      <c r="Z126" s="530">
        <f>Y126+(23)</f>
        <v>215.9</v>
      </c>
      <c r="AA126" s="709">
        <f>Z126-H126</f>
        <v>90.78</v>
      </c>
      <c r="AB126" s="653">
        <f>Z126-I126</f>
        <v>147.084</v>
      </c>
      <c r="AC126" s="609">
        <f>10+306</f>
        <v>316</v>
      </c>
      <c r="AD126" s="708">
        <f t="shared" si="274"/>
        <v>100.092</v>
      </c>
      <c r="AE126" s="710">
        <f>X126-U126+AD126</f>
        <v>103.542</v>
      </c>
      <c r="AF126" s="439">
        <f>2*AE126</f>
        <v>207.084</v>
      </c>
      <c r="AG126" s="440">
        <f>AF126+(23)</f>
        <v>230.084</v>
      </c>
      <c r="AH126" s="655">
        <f>AG126-I126</f>
        <v>161.268</v>
      </c>
      <c r="AI126" s="1263" t="s">
        <v>771</v>
      </c>
      <c r="AJ126" s="617">
        <v>80</v>
      </c>
      <c r="AK126" s="673">
        <f>(2*AJ126)+(2*71)+(2*45)</f>
        <v>392</v>
      </c>
      <c r="AL126" s="969">
        <f>S126-AK126</f>
        <v>110</v>
      </c>
      <c r="AM126" s="623">
        <f>15</f>
        <v>15</v>
      </c>
      <c r="AN126" s="554">
        <f>291+23+AM126</f>
        <v>329</v>
      </c>
      <c r="AO126" s="449">
        <f>Z126-AN126</f>
        <v>-113.1</v>
      </c>
      <c r="AQ126" s="67" t="s">
        <v>133</v>
      </c>
      <c r="AR126" s="276">
        <f>H126</f>
        <v>125.12</v>
      </c>
      <c r="AS126" s="183">
        <f>Z126</f>
        <v>215.9</v>
      </c>
      <c r="AT126" s="183">
        <f t="shared" si="275"/>
        <v>329</v>
      </c>
      <c r="AU126" s="733">
        <f t="shared" si="270"/>
        <v>-68.399999999999977</v>
      </c>
      <c r="AV126" s="460">
        <f>S126-AK126</f>
        <v>110</v>
      </c>
      <c r="BE126" s="1622">
        <f t="shared" si="276"/>
        <v>24</v>
      </c>
      <c r="BJ126" s="299">
        <v>1</v>
      </c>
    </row>
    <row r="127" spans="1:72" ht="15" customHeight="1">
      <c r="A127" s="936">
        <f t="shared" si="277"/>
        <v>45</v>
      </c>
      <c r="B127" s="886">
        <f>B125+1</f>
        <v>21</v>
      </c>
      <c r="C127" s="67" t="s">
        <v>925</v>
      </c>
      <c r="D127" s="1346">
        <v>82</v>
      </c>
      <c r="E127" s="1347">
        <f>2*D127</f>
        <v>164</v>
      </c>
      <c r="F127" s="1347">
        <f>2*80</f>
        <v>160</v>
      </c>
      <c r="G127" s="1354">
        <f>F127*1.15</f>
        <v>184</v>
      </c>
      <c r="H127" s="449">
        <f t="shared" si="271"/>
        <v>37.72</v>
      </c>
      <c r="I127" s="450">
        <f t="shared" si="272"/>
        <v>20.746000000000002</v>
      </c>
      <c r="J127" s="1355">
        <v>12</v>
      </c>
      <c r="K127" s="1355">
        <f t="shared" si="273"/>
        <v>25</v>
      </c>
      <c r="L127" s="1355">
        <v>99</v>
      </c>
      <c r="M127" s="1356">
        <v>15</v>
      </c>
      <c r="N127" s="1355">
        <v>15</v>
      </c>
      <c r="O127" s="1355">
        <v>15</v>
      </c>
      <c r="P127" s="1355">
        <v>200</v>
      </c>
      <c r="Q127" s="1355">
        <f>SUM(J127:P127)</f>
        <v>381</v>
      </c>
      <c r="R127" s="435">
        <f>2*Q127</f>
        <v>762</v>
      </c>
      <c r="S127" s="705">
        <f>R127+(2*71)</f>
        <v>904</v>
      </c>
      <c r="T127" s="706">
        <v>3.45</v>
      </c>
      <c r="U127" s="1026">
        <v>62</v>
      </c>
      <c r="V127" s="707" t="s">
        <v>13</v>
      </c>
      <c r="W127" s="1026">
        <v>10</v>
      </c>
      <c r="X127" s="708">
        <f>SUM(T127:W127)</f>
        <v>75.45</v>
      </c>
      <c r="Y127" s="529">
        <f>2*X127</f>
        <v>150.9</v>
      </c>
      <c r="Z127" s="530">
        <f>Y127+(23)</f>
        <v>173.9</v>
      </c>
      <c r="AA127" s="709">
        <f>Z127-H127</f>
        <v>136.18</v>
      </c>
      <c r="AB127" s="653">
        <f>Z127-I127</f>
        <v>153.154</v>
      </c>
      <c r="AC127" s="609">
        <f>10+199+115</f>
        <v>324</v>
      </c>
      <c r="AD127" s="708">
        <f t="shared" si="274"/>
        <v>101.768</v>
      </c>
      <c r="AE127" s="710">
        <f>X127-U127+AD127</f>
        <v>115.218</v>
      </c>
      <c r="AF127" s="439">
        <f>2*AE127</f>
        <v>230.43600000000001</v>
      </c>
      <c r="AG127" s="440">
        <f>AF127+(23)</f>
        <v>253.43600000000001</v>
      </c>
      <c r="AH127" s="655">
        <f>AG127-I127</f>
        <v>232.69</v>
      </c>
      <c r="AI127" s="1263" t="s">
        <v>770</v>
      </c>
      <c r="AJ127" s="617">
        <v>188</v>
      </c>
      <c r="AK127" s="673">
        <f>(2*AJ127)+(2*71)+(2*45)</f>
        <v>608</v>
      </c>
      <c r="AL127" s="969">
        <f>S127-AK127</f>
        <v>296</v>
      </c>
      <c r="AM127" s="1030" t="s">
        <v>758</v>
      </c>
      <c r="AN127" s="451">
        <f>325+(23)</f>
        <v>348</v>
      </c>
      <c r="AO127" s="449">
        <f>Z127-AN127</f>
        <v>-174.1</v>
      </c>
      <c r="AQ127" s="67" t="s">
        <v>134</v>
      </c>
      <c r="AR127" s="276">
        <f>H127</f>
        <v>37.72</v>
      </c>
      <c r="AS127" s="183">
        <f>Z127</f>
        <v>173.9</v>
      </c>
      <c r="AT127" s="183">
        <f t="shared" si="275"/>
        <v>348</v>
      </c>
      <c r="AU127" s="733">
        <f t="shared" si="270"/>
        <v>720</v>
      </c>
      <c r="AV127" s="460">
        <f>S127-AK127</f>
        <v>296</v>
      </c>
      <c r="BE127" s="1623">
        <f t="shared" si="276"/>
        <v>21</v>
      </c>
      <c r="BN127" s="299">
        <v>1</v>
      </c>
      <c r="BO127" s="299"/>
      <c r="BQ127" s="299" t="s">
        <v>105</v>
      </c>
      <c r="BR127" s="299"/>
    </row>
    <row r="128" spans="1:72" ht="314" customHeight="1">
      <c r="C128" s="1200" t="s">
        <v>899</v>
      </c>
      <c r="D128" s="1817" t="s">
        <v>921</v>
      </c>
      <c r="E128" s="1804"/>
      <c r="F128" s="1294" t="s">
        <v>903</v>
      </c>
      <c r="G128" s="1296" t="s">
        <v>904</v>
      </c>
      <c r="H128" s="1238" t="s">
        <v>345</v>
      </c>
      <c r="I128" s="1003"/>
      <c r="J128" s="1295" t="s">
        <v>922</v>
      </c>
      <c r="K128" s="601" t="s">
        <v>166</v>
      </c>
      <c r="L128" s="1297" t="s">
        <v>990</v>
      </c>
      <c r="M128" s="1297" t="s">
        <v>126</v>
      </c>
      <c r="N128" s="1297" t="s">
        <v>218</v>
      </c>
      <c r="O128" s="1257" t="s">
        <v>194</v>
      </c>
      <c r="P128" s="1297" t="s">
        <v>420</v>
      </c>
      <c r="Q128" s="172"/>
      <c r="R128" s="425"/>
      <c r="S128" s="1338" t="s">
        <v>983</v>
      </c>
      <c r="T128" s="601" t="s">
        <v>923</v>
      </c>
      <c r="U128" s="1252" t="s">
        <v>422</v>
      </c>
      <c r="V128" s="208"/>
      <c r="W128" s="1028" t="s">
        <v>924</v>
      </c>
      <c r="X128" s="52"/>
      <c r="Y128" s="117"/>
      <c r="Z128" s="1350" t="s">
        <v>976</v>
      </c>
      <c r="AA128" s="174"/>
      <c r="AB128" s="1260" t="s">
        <v>349</v>
      </c>
      <c r="AC128" s="1293" t="s">
        <v>907</v>
      </c>
      <c r="AD128" s="1260" t="s">
        <v>350</v>
      </c>
      <c r="AE128" s="1025"/>
      <c r="AF128" s="47"/>
      <c r="AG128" s="1350" t="s">
        <v>976</v>
      </c>
      <c r="AH128" s="1115"/>
      <c r="AI128" s="1115"/>
      <c r="AJ128" s="1545" t="s">
        <v>1153</v>
      </c>
      <c r="AK128" s="399"/>
      <c r="AL128" s="1596" t="s">
        <v>1199</v>
      </c>
      <c r="AM128" s="47"/>
      <c r="AN128" s="1291" t="s">
        <v>885</v>
      </c>
      <c r="AO128" s="432"/>
      <c r="AQ128" s="555"/>
      <c r="AR128" s="314"/>
      <c r="AS128" s="314"/>
      <c r="AT128" s="789"/>
      <c r="AU128" s="314"/>
      <c r="AV128" s="314"/>
    </row>
    <row r="129" spans="1:72" ht="15" customHeight="1">
      <c r="C129" s="3"/>
      <c r="D129" s="89"/>
      <c r="E129" s="57"/>
      <c r="F129" s="57"/>
      <c r="G129" s="57"/>
      <c r="H129" s="62"/>
      <c r="I129" s="62"/>
      <c r="J129" s="165"/>
      <c r="L129" s="62"/>
      <c r="M129" s="314"/>
      <c r="N129" s="62"/>
      <c r="O129" s="62"/>
      <c r="P129" s="62"/>
      <c r="Q129" s="62"/>
      <c r="R129" s="147"/>
      <c r="S129" s="62"/>
      <c r="T129" s="430"/>
      <c r="U129" s="429"/>
      <c r="V129" s="62"/>
      <c r="W129" s="431"/>
      <c r="X129" s="62"/>
      <c r="Y129" s="47"/>
      <c r="Z129" s="47"/>
      <c r="AA129" s="314"/>
      <c r="AB129" s="432"/>
      <c r="AC129" s="324"/>
      <c r="AD129" s="325"/>
      <c r="AE129" s="62"/>
      <c r="AF129" s="47"/>
      <c r="AG129" s="47"/>
      <c r="AH129" s="74"/>
      <c r="AI129" s="74"/>
      <c r="AJ129" s="71"/>
      <c r="AK129" s="315"/>
      <c r="AL129" s="76"/>
      <c r="AM129" s="76"/>
      <c r="AN129" s="432"/>
      <c r="AO129" s="432"/>
      <c r="AQ129" s="314"/>
      <c r="AR129" s="314"/>
      <c r="AS129" s="314"/>
      <c r="AT129" s="789"/>
      <c r="AU129" s="314"/>
      <c r="AV129" s="511" t="s">
        <v>105</v>
      </c>
      <c r="AX129" s="510" t="s">
        <v>105</v>
      </c>
    </row>
    <row r="130" spans="1:72" s="14" customFormat="1">
      <c r="A130" s="927"/>
      <c r="B130" s="898"/>
      <c r="C130" s="1814"/>
      <c r="D130" s="1815"/>
      <c r="E130" s="1815"/>
      <c r="F130" s="1815"/>
      <c r="G130" s="1815"/>
      <c r="H130" s="1815"/>
      <c r="I130" s="1815"/>
      <c r="J130" s="1815"/>
      <c r="K130" s="1815"/>
      <c r="L130" s="1815"/>
      <c r="M130" s="1815"/>
      <c r="N130" s="1815"/>
      <c r="O130" s="1815"/>
      <c r="P130" s="1815"/>
      <c r="Q130" s="1815"/>
      <c r="R130" s="1815"/>
      <c r="S130" s="1815"/>
      <c r="T130" s="1816"/>
      <c r="U130" s="1816"/>
      <c r="V130" s="1816"/>
      <c r="W130" s="1816"/>
      <c r="X130" s="1816"/>
      <c r="Y130" s="1816"/>
      <c r="Z130" s="1816"/>
      <c r="AA130" s="1816"/>
      <c r="AB130" s="1816"/>
      <c r="AC130" s="1816"/>
      <c r="AD130" s="1816"/>
      <c r="AE130" s="1816"/>
      <c r="AF130" s="1816"/>
      <c r="AG130" s="1816"/>
      <c r="AH130" s="1816"/>
      <c r="AI130" s="1816"/>
      <c r="AJ130" s="1816"/>
      <c r="AK130" s="72"/>
      <c r="AL130" s="31"/>
      <c r="AM130" s="31"/>
      <c r="AN130" s="884"/>
      <c r="AO130" s="884"/>
      <c r="AP130" s="1116"/>
      <c r="AQ130" s="176"/>
      <c r="AU130" s="96"/>
      <c r="BF130" s="199"/>
      <c r="BG130" s="199"/>
      <c r="BH130" s="199"/>
      <c r="BI130" s="199"/>
      <c r="BJ130" s="199"/>
      <c r="BK130" s="199"/>
      <c r="BL130" s="199"/>
      <c r="BM130" s="199"/>
      <c r="BN130" s="199"/>
      <c r="BO130" s="199"/>
      <c r="BP130" s="199"/>
      <c r="BQ130" s="199"/>
      <c r="BR130" s="199"/>
      <c r="BS130" s="199"/>
      <c r="BT130" s="199"/>
    </row>
    <row r="131" spans="1:72" s="1331" customFormat="1" ht="44" customHeight="1">
      <c r="A131" s="1343"/>
      <c r="B131" s="930" t="s">
        <v>164</v>
      </c>
      <c r="C131" s="1559" t="s">
        <v>35</v>
      </c>
      <c r="D131" s="1690" t="s">
        <v>168</v>
      </c>
      <c r="E131" s="1792"/>
      <c r="F131" s="1792"/>
      <c r="G131" s="1792"/>
      <c r="H131" s="1792"/>
      <c r="I131" s="1793"/>
      <c r="J131" s="1788" t="s">
        <v>645</v>
      </c>
      <c r="K131" s="1789"/>
      <c r="L131" s="1790"/>
      <c r="M131" s="1790"/>
      <c r="N131" s="1790"/>
      <c r="O131" s="1790"/>
      <c r="P131" s="1791"/>
      <c r="Q131" s="1790"/>
      <c r="R131" s="1684" t="s">
        <v>882</v>
      </c>
      <c r="S131" s="1779"/>
      <c r="T131" s="1786" t="s">
        <v>664</v>
      </c>
      <c r="U131" s="1787"/>
      <c r="V131" s="1787"/>
      <c r="W131" s="1787"/>
      <c r="X131" s="1787"/>
      <c r="Y131" s="1811" t="s">
        <v>648</v>
      </c>
      <c r="Z131" s="1812"/>
      <c r="AA131" s="1276"/>
      <c r="AB131" s="1276"/>
      <c r="AC131" s="1784" t="s">
        <v>162</v>
      </c>
      <c r="AD131" s="1785"/>
      <c r="AE131" s="1785"/>
      <c r="AF131" s="1782" t="s">
        <v>883</v>
      </c>
      <c r="AG131" s="1783"/>
      <c r="AH131" s="1539"/>
      <c r="AI131" s="1277"/>
      <c r="AJ131" s="1780" t="s">
        <v>167</v>
      </c>
      <c r="AK131" s="1780"/>
      <c r="AL131" s="1780"/>
      <c r="AM131" s="1780"/>
      <c r="AN131" s="1842"/>
      <c r="AO131" s="1278"/>
      <c r="AP131" s="1330"/>
      <c r="AQ131" s="1360"/>
      <c r="AU131" s="1334"/>
      <c r="BF131" s="1632"/>
      <c r="BG131" s="1632"/>
      <c r="BH131" s="1632"/>
      <c r="BI131" s="1632"/>
      <c r="BJ131" s="1632"/>
      <c r="BK131" s="1632"/>
      <c r="BL131" s="1632"/>
      <c r="BM131" s="1632"/>
      <c r="BN131" s="1632"/>
      <c r="BO131" s="1632"/>
      <c r="BP131" s="1632"/>
      <c r="BQ131" s="1632"/>
      <c r="BR131" s="1632"/>
      <c r="BS131" s="1632"/>
      <c r="BT131" s="1632"/>
    </row>
    <row r="132" spans="1:72">
      <c r="C132" s="505"/>
      <c r="D132" s="109">
        <v>1</v>
      </c>
      <c r="E132" s="50">
        <f>D132+1</f>
        <v>2</v>
      </c>
      <c r="F132" s="50">
        <f>E132+1</f>
        <v>3</v>
      </c>
      <c r="G132" s="50">
        <f>F132+1</f>
        <v>4</v>
      </c>
      <c r="H132" s="50">
        <f>G132+1</f>
        <v>5</v>
      </c>
      <c r="I132" s="110">
        <f>H132+1</f>
        <v>6</v>
      </c>
      <c r="J132" s="109">
        <f t="shared" ref="J132:Q132" si="278">I132+1</f>
        <v>7</v>
      </c>
      <c r="K132" s="50">
        <f>J132+1</f>
        <v>8</v>
      </c>
      <c r="L132" s="50">
        <f>K132+1</f>
        <v>9</v>
      </c>
      <c r="M132" s="50">
        <f t="shared" si="278"/>
        <v>10</v>
      </c>
      <c r="N132" s="50">
        <f t="shared" si="278"/>
        <v>11</v>
      </c>
      <c r="O132" s="50">
        <f t="shared" si="278"/>
        <v>12</v>
      </c>
      <c r="P132" s="50">
        <f t="shared" si="278"/>
        <v>13</v>
      </c>
      <c r="Q132" s="50">
        <f t="shared" si="278"/>
        <v>14</v>
      </c>
      <c r="R132" s="1005">
        <f t="shared" ref="R132:AL132" si="279">Q132+1</f>
        <v>15</v>
      </c>
      <c r="S132" s="1007">
        <f t="shared" si="279"/>
        <v>16</v>
      </c>
      <c r="T132" s="109">
        <f t="shared" si="279"/>
        <v>17</v>
      </c>
      <c r="U132" s="50">
        <f t="shared" si="279"/>
        <v>18</v>
      </c>
      <c r="V132" s="50">
        <f t="shared" si="279"/>
        <v>19</v>
      </c>
      <c r="W132" s="50">
        <f t="shared" si="279"/>
        <v>20</v>
      </c>
      <c r="X132" s="50">
        <f t="shared" si="279"/>
        <v>21</v>
      </c>
      <c r="Y132" s="1005">
        <f t="shared" si="279"/>
        <v>22</v>
      </c>
      <c r="Z132" s="1007">
        <f t="shared" si="279"/>
        <v>23</v>
      </c>
      <c r="AA132" s="109">
        <f t="shared" si="279"/>
        <v>24</v>
      </c>
      <c r="AB132" s="110">
        <f t="shared" si="279"/>
        <v>25</v>
      </c>
      <c r="AC132" s="109">
        <f t="shared" si="279"/>
        <v>26</v>
      </c>
      <c r="AD132" s="50">
        <f t="shared" si="279"/>
        <v>27</v>
      </c>
      <c r="AE132" s="50">
        <f t="shared" si="279"/>
        <v>28</v>
      </c>
      <c r="AF132" s="1005">
        <f t="shared" si="279"/>
        <v>29</v>
      </c>
      <c r="AG132" s="1007">
        <f t="shared" si="279"/>
        <v>30</v>
      </c>
      <c r="AH132" s="110">
        <f t="shared" si="279"/>
        <v>31</v>
      </c>
      <c r="AI132" s="50">
        <f>AH132+1</f>
        <v>32</v>
      </c>
      <c r="AJ132" s="50">
        <f>AI132+1</f>
        <v>33</v>
      </c>
      <c r="AK132" s="50">
        <f t="shared" si="279"/>
        <v>34</v>
      </c>
      <c r="AL132" s="50">
        <f t="shared" si="279"/>
        <v>35</v>
      </c>
      <c r="AM132" s="50">
        <f t="shared" ref="AM132" si="280">AL132+1</f>
        <v>36</v>
      </c>
      <c r="AN132" s="50">
        <f t="shared" ref="AN132" si="281">AM132+1</f>
        <v>37</v>
      </c>
      <c r="AO132" s="50">
        <f t="shared" ref="AO132" si="282">AN132+1</f>
        <v>38</v>
      </c>
      <c r="AP132" s="1117"/>
      <c r="AQ132" s="35"/>
      <c r="AR132" s="34"/>
      <c r="AS132" s="34"/>
      <c r="AT132" s="34"/>
      <c r="AU132" s="97"/>
      <c r="AV132" s="34"/>
      <c r="AW132" s="8"/>
      <c r="AX132" s="8"/>
      <c r="AY132" s="8"/>
      <c r="AZ132" s="8"/>
      <c r="BA132" s="8"/>
      <c r="BB132" s="8"/>
      <c r="BC132" s="8"/>
      <c r="BD132" s="8"/>
      <c r="BE132" s="8"/>
      <c r="BF132" s="773"/>
      <c r="BG132" s="773"/>
    </row>
    <row r="133" spans="1:72" ht="141" customHeight="1">
      <c r="C133" s="1311" t="s">
        <v>901</v>
      </c>
      <c r="D133" s="1234" t="s">
        <v>309</v>
      </c>
      <c r="E133" s="1235" t="s">
        <v>310</v>
      </c>
      <c r="F133" s="1235" t="s">
        <v>311</v>
      </c>
      <c r="G133" s="1240" t="s">
        <v>234</v>
      </c>
      <c r="H133" s="805" t="s">
        <v>247</v>
      </c>
      <c r="I133" s="1002" t="s">
        <v>604</v>
      </c>
      <c r="J133" s="1239" t="s">
        <v>297</v>
      </c>
      <c r="K133" s="1240" t="s">
        <v>313</v>
      </c>
      <c r="L133" s="1240" t="s">
        <v>312</v>
      </c>
      <c r="M133" s="1240" t="s">
        <v>425</v>
      </c>
      <c r="N133" s="1240" t="s">
        <v>314</v>
      </c>
      <c r="O133" s="1240" t="s">
        <v>314</v>
      </c>
      <c r="P133" s="1240" t="s">
        <v>315</v>
      </c>
      <c r="Q133" s="1286" t="s">
        <v>415</v>
      </c>
      <c r="R133" s="602" t="s">
        <v>257</v>
      </c>
      <c r="S133" s="400" t="s">
        <v>363</v>
      </c>
      <c r="T133" s="1010" t="s">
        <v>316</v>
      </c>
      <c r="U133" s="1010" t="s">
        <v>317</v>
      </c>
      <c r="V133" s="1010" t="s">
        <v>318</v>
      </c>
      <c r="W133" s="1010" t="s">
        <v>319</v>
      </c>
      <c r="X133" s="872" t="s">
        <v>262</v>
      </c>
      <c r="Y133" s="523" t="s">
        <v>995</v>
      </c>
      <c r="Z133" s="599" t="s">
        <v>996</v>
      </c>
      <c r="AA133" s="1010" t="s">
        <v>265</v>
      </c>
      <c r="AB133" s="1010" t="s">
        <v>266</v>
      </c>
      <c r="AC133" s="1266" t="s">
        <v>627</v>
      </c>
      <c r="AD133" s="1010" t="s">
        <v>268</v>
      </c>
      <c r="AE133" s="1010" t="s">
        <v>269</v>
      </c>
      <c r="AF133" s="186" t="s">
        <v>344</v>
      </c>
      <c r="AG133" s="600" t="s">
        <v>270</v>
      </c>
      <c r="AH133" s="1020" t="s">
        <v>320</v>
      </c>
      <c r="AI133" s="1239" t="s">
        <v>812</v>
      </c>
      <c r="AJ133" s="1264" t="s">
        <v>809</v>
      </c>
      <c r="AK133" s="1550" t="s">
        <v>14</v>
      </c>
      <c r="AL133" s="1235" t="s">
        <v>0</v>
      </c>
      <c r="AM133" s="1010" t="s">
        <v>810</v>
      </c>
      <c r="AN133" s="1002" t="s">
        <v>746</v>
      </c>
      <c r="AO133" s="266" t="s">
        <v>272</v>
      </c>
      <c r="AQ133" s="1383" t="s">
        <v>308</v>
      </c>
      <c r="AR133" s="805" t="s">
        <v>357</v>
      </c>
      <c r="AS133" s="988" t="s">
        <v>273</v>
      </c>
      <c r="AT133" s="806" t="s">
        <v>567</v>
      </c>
      <c r="AU133" s="1008" t="s">
        <v>811</v>
      </c>
      <c r="AV133" s="1008" t="s">
        <v>745</v>
      </c>
      <c r="BB133" s="19"/>
      <c r="BC133" s="17"/>
      <c r="BD133" s="44"/>
      <c r="BE133" s="1149" t="s">
        <v>822</v>
      </c>
      <c r="BF133" s="33"/>
    </row>
    <row r="134" spans="1:72" s="298" customFormat="1">
      <c r="A134" s="896">
        <f>A127+1</f>
        <v>46</v>
      </c>
      <c r="B134" s="888">
        <f>B127+1</f>
        <v>22</v>
      </c>
      <c r="C134" s="346" t="s">
        <v>160</v>
      </c>
      <c r="D134" s="607">
        <v>102</v>
      </c>
      <c r="E134" s="862">
        <f>2*D134</f>
        <v>204</v>
      </c>
      <c r="F134" s="862">
        <f>2*82</f>
        <v>164</v>
      </c>
      <c r="G134" s="656">
        <f t="shared" ref="G134:G139" si="283">F134*1.15</f>
        <v>188.6</v>
      </c>
      <c r="H134" s="816">
        <f>0.23*E134</f>
        <v>46.92</v>
      </c>
      <c r="I134" s="273">
        <f>0.5*(1.1*H134)</f>
        <v>25.806000000000004</v>
      </c>
      <c r="J134" s="862" t="s">
        <v>12</v>
      </c>
      <c r="K134" s="862" t="s">
        <v>12</v>
      </c>
      <c r="L134" s="650">
        <f>135-96</f>
        <v>39</v>
      </c>
      <c r="M134" s="862" t="s">
        <v>12</v>
      </c>
      <c r="N134" s="862" t="s">
        <v>12</v>
      </c>
      <c r="O134" s="862" t="s">
        <v>12</v>
      </c>
      <c r="P134" s="862" t="s">
        <v>12</v>
      </c>
      <c r="Q134" s="650">
        <f t="shared" ref="Q134:Q139" si="284">SUM(J134:P134)</f>
        <v>39</v>
      </c>
      <c r="R134" s="402">
        <f t="shared" ref="R134:R139" si="285">2*Q134</f>
        <v>78</v>
      </c>
      <c r="S134" s="690">
        <f t="shared" ref="S134:S139" si="286">R134+(2*71)</f>
        <v>220</v>
      </c>
      <c r="T134" s="704">
        <v>0</v>
      </c>
      <c r="U134" s="649">
        <v>54</v>
      </c>
      <c r="V134" s="649" t="s">
        <v>12</v>
      </c>
      <c r="W134" s="649" t="s">
        <v>12</v>
      </c>
      <c r="X134" s="702">
        <f t="shared" ref="X134:X139" si="287">SUM(T134:W134)</f>
        <v>54</v>
      </c>
      <c r="Y134" s="528">
        <f t="shared" ref="Y134:Y139" si="288">2*X134</f>
        <v>108</v>
      </c>
      <c r="Z134" s="531">
        <f t="shared" ref="Z134:Z139" si="289">Y134+(23)</f>
        <v>131</v>
      </c>
      <c r="AA134" s="702">
        <f t="shared" ref="AA134:AA139" si="290">Z134-H134</f>
        <v>84.08</v>
      </c>
      <c r="AB134" s="700">
        <f t="shared" ref="AB134:AB139" si="291">Z134-I134</f>
        <v>105.19399999999999</v>
      </c>
      <c r="AC134" s="1361">
        <f>187-84</f>
        <v>103</v>
      </c>
      <c r="AD134" s="702">
        <f>33.89+(0.2095*AC134)</f>
        <v>55.468499999999999</v>
      </c>
      <c r="AE134" s="624">
        <f t="shared" ref="AE134:AE137" si="292">X134-U134+AD134</f>
        <v>55.468499999999999</v>
      </c>
      <c r="AF134" s="712">
        <f t="shared" ref="AF134:AF139" si="293">2*AE134</f>
        <v>110.937</v>
      </c>
      <c r="AG134" s="280">
        <f t="shared" ref="AG134:AG139" si="294">AF134+(23)</f>
        <v>133.93700000000001</v>
      </c>
      <c r="AH134" s="699">
        <f t="shared" ref="AH134:AH139" si="295">AG134-I134</f>
        <v>108.131</v>
      </c>
      <c r="AI134" s="1263" t="s">
        <v>762</v>
      </c>
      <c r="AJ134" s="1363">
        <v>240</v>
      </c>
      <c r="AK134" s="969">
        <f t="shared" ref="AK134:AK139" si="296">(2*AJ134)+(2*71)+(2*45)</f>
        <v>712</v>
      </c>
      <c r="AL134" s="969">
        <f t="shared" ref="AL134:AL139" si="297">S134-AK134</f>
        <v>-492</v>
      </c>
      <c r="AM134" s="623">
        <f>31</f>
        <v>31</v>
      </c>
      <c r="AN134" s="373">
        <f>906+23+AM134</f>
        <v>960</v>
      </c>
      <c r="AO134" s="274">
        <f t="shared" ref="AO134:AO139" si="298">Z134-AN134</f>
        <v>-829</v>
      </c>
      <c r="AP134" s="1125"/>
      <c r="AQ134" s="344" t="s">
        <v>42</v>
      </c>
      <c r="AR134" s="276">
        <f t="shared" ref="AR134:AR139" si="299">H134</f>
        <v>46.92</v>
      </c>
      <c r="AS134" s="183">
        <f t="shared" ref="AS134:AS139" si="300">Z134</f>
        <v>131</v>
      </c>
      <c r="AT134" s="276">
        <f t="shared" ref="AT134:AT139" si="301">AN134</f>
        <v>960</v>
      </c>
      <c r="AU134" s="733">
        <f t="shared" ref="AU134:AU139" si="302">S134-G134</f>
        <v>31.400000000000006</v>
      </c>
      <c r="AV134" s="460">
        <f t="shared" ref="AV134:AV139" si="303">S134-AK134</f>
        <v>-492</v>
      </c>
      <c r="BB134" s="349"/>
      <c r="BC134" s="349"/>
      <c r="BD134" s="370"/>
      <c r="BE134" s="1624">
        <f>B134</f>
        <v>22</v>
      </c>
      <c r="BF134" s="1655"/>
      <c r="BG134" s="299"/>
      <c r="BH134" s="299">
        <v>1</v>
      </c>
      <c r="BI134" s="299"/>
      <c r="BJ134" s="299"/>
      <c r="BK134" s="299"/>
      <c r="BL134" s="299"/>
      <c r="BM134" s="299"/>
      <c r="BN134" s="299"/>
      <c r="BO134" s="299"/>
      <c r="BP134" s="301"/>
      <c r="BQ134" s="359"/>
      <c r="BR134" s="359"/>
      <c r="BS134" s="360"/>
      <c r="BT134" s="276"/>
    </row>
    <row r="135" spans="1:72" s="298" customFormat="1">
      <c r="A135" s="896">
        <f>A134+1</f>
        <v>47</v>
      </c>
      <c r="B135" s="888">
        <f>B134+1</f>
        <v>23</v>
      </c>
      <c r="C135" s="344" t="s">
        <v>700</v>
      </c>
      <c r="D135" s="607">
        <v>101</v>
      </c>
      <c r="E135" s="862">
        <f>2*D135</f>
        <v>202</v>
      </c>
      <c r="F135" s="862">
        <f>2*96</f>
        <v>192</v>
      </c>
      <c r="G135" s="656">
        <f t="shared" si="283"/>
        <v>220.79999999999998</v>
      </c>
      <c r="H135" s="816">
        <f t="shared" ref="H135:H139" si="304">0.23*E135</f>
        <v>46.46</v>
      </c>
      <c r="I135" s="273">
        <f>0.5*(1.1*H135)</f>
        <v>25.553000000000001</v>
      </c>
      <c r="J135" s="862" t="s">
        <v>12</v>
      </c>
      <c r="K135" s="862" t="s">
        <v>12</v>
      </c>
      <c r="L135" s="650">
        <f>162-96</f>
        <v>66</v>
      </c>
      <c r="M135" s="862" t="s">
        <v>12</v>
      </c>
      <c r="N135" s="862" t="s">
        <v>12</v>
      </c>
      <c r="O135" s="862" t="s">
        <v>12</v>
      </c>
      <c r="P135" s="862" t="s">
        <v>12</v>
      </c>
      <c r="Q135" s="650">
        <f t="shared" si="284"/>
        <v>66</v>
      </c>
      <c r="R135" s="402">
        <f t="shared" si="285"/>
        <v>132</v>
      </c>
      <c r="S135" s="690">
        <f t="shared" si="286"/>
        <v>274</v>
      </c>
      <c r="T135" s="704">
        <v>0</v>
      </c>
      <c r="U135" s="649">
        <v>55</v>
      </c>
      <c r="V135" s="649" t="s">
        <v>12</v>
      </c>
      <c r="W135" s="649" t="s">
        <v>12</v>
      </c>
      <c r="X135" s="702">
        <f t="shared" si="287"/>
        <v>55</v>
      </c>
      <c r="Y135" s="528">
        <f t="shared" si="288"/>
        <v>110</v>
      </c>
      <c r="Z135" s="531">
        <f t="shared" si="289"/>
        <v>133</v>
      </c>
      <c r="AA135" s="702">
        <f t="shared" si="290"/>
        <v>86.539999999999992</v>
      </c>
      <c r="AB135" s="700">
        <f t="shared" si="291"/>
        <v>107.447</v>
      </c>
      <c r="AC135" s="1361">
        <f>460-306</f>
        <v>154</v>
      </c>
      <c r="AD135" s="702">
        <f t="shared" ref="AD135:AD139" si="305">33.89+(0.2095*AC135)</f>
        <v>66.152999999999992</v>
      </c>
      <c r="AE135" s="624">
        <f t="shared" si="292"/>
        <v>66.152999999999992</v>
      </c>
      <c r="AF135" s="712">
        <f t="shared" si="293"/>
        <v>132.30599999999998</v>
      </c>
      <c r="AG135" s="280">
        <f t="shared" si="294"/>
        <v>155.30599999999998</v>
      </c>
      <c r="AH135" s="699">
        <f t="shared" si="295"/>
        <v>129.75299999999999</v>
      </c>
      <c r="AI135" s="1263" t="s">
        <v>762</v>
      </c>
      <c r="AJ135" s="1363">
        <v>240</v>
      </c>
      <c r="AK135" s="969">
        <f t="shared" si="296"/>
        <v>712</v>
      </c>
      <c r="AL135" s="969">
        <f t="shared" si="297"/>
        <v>-438</v>
      </c>
      <c r="AM135" s="623">
        <v>15</v>
      </c>
      <c r="AN135" s="373">
        <f>906+23+AM135</f>
        <v>944</v>
      </c>
      <c r="AO135" s="274">
        <f t="shared" si="298"/>
        <v>-811</v>
      </c>
      <c r="AP135" s="1118"/>
      <c r="AQ135" s="344" t="s">
        <v>43</v>
      </c>
      <c r="AR135" s="276">
        <f t="shared" si="299"/>
        <v>46.46</v>
      </c>
      <c r="AS135" s="183">
        <f t="shared" si="300"/>
        <v>133</v>
      </c>
      <c r="AT135" s="276">
        <f t="shared" si="301"/>
        <v>944</v>
      </c>
      <c r="AU135" s="733">
        <f t="shared" si="302"/>
        <v>53.200000000000017</v>
      </c>
      <c r="AV135" s="460">
        <f t="shared" si="303"/>
        <v>-438</v>
      </c>
      <c r="BB135" s="349"/>
      <c r="BC135" s="349"/>
      <c r="BD135" s="370"/>
      <c r="BE135" s="1624">
        <f t="shared" ref="BE135:BE139" si="306">B135</f>
        <v>23</v>
      </c>
      <c r="BF135" s="1655"/>
      <c r="BG135" s="299"/>
      <c r="BH135" s="299">
        <v>1</v>
      </c>
      <c r="BI135" s="299"/>
      <c r="BJ135" s="299"/>
      <c r="BK135" s="299"/>
      <c r="BL135" s="299"/>
      <c r="BM135" s="299"/>
      <c r="BN135" s="299"/>
      <c r="BO135" s="299"/>
      <c r="BP135" s="301"/>
      <c r="BQ135" s="359"/>
      <c r="BR135" s="359"/>
      <c r="BS135" s="360"/>
      <c r="BT135" s="276"/>
    </row>
    <row r="136" spans="1:72" s="348" customFormat="1">
      <c r="A136" s="896">
        <f t="shared" ref="A136:A139" si="307">A135+1</f>
        <v>48</v>
      </c>
      <c r="B136" s="878">
        <f>B126+1</f>
        <v>25</v>
      </c>
      <c r="C136" s="346" t="s">
        <v>161</v>
      </c>
      <c r="D136" s="607">
        <v>182</v>
      </c>
      <c r="E136" s="862">
        <f>2*D136</f>
        <v>364</v>
      </c>
      <c r="F136" s="862">
        <f>2*166</f>
        <v>332</v>
      </c>
      <c r="G136" s="656">
        <f t="shared" si="283"/>
        <v>381.79999999999995</v>
      </c>
      <c r="H136" s="816">
        <f t="shared" si="304"/>
        <v>83.72</v>
      </c>
      <c r="I136" s="273">
        <f>0.5*(1.1*H136)</f>
        <v>46.046000000000006</v>
      </c>
      <c r="J136" s="862" t="s">
        <v>12</v>
      </c>
      <c r="K136" s="862" t="s">
        <v>12</v>
      </c>
      <c r="L136" s="650">
        <f>220-133</f>
        <v>87</v>
      </c>
      <c r="M136" s="862" t="s">
        <v>12</v>
      </c>
      <c r="N136" s="862" t="s">
        <v>12</v>
      </c>
      <c r="O136" s="862" t="s">
        <v>12</v>
      </c>
      <c r="P136" s="862" t="s">
        <v>12</v>
      </c>
      <c r="Q136" s="650">
        <f t="shared" si="284"/>
        <v>87</v>
      </c>
      <c r="R136" s="402">
        <f t="shared" si="285"/>
        <v>174</v>
      </c>
      <c r="S136" s="690">
        <f t="shared" si="286"/>
        <v>316</v>
      </c>
      <c r="T136" s="704">
        <v>0</v>
      </c>
      <c r="U136" s="649">
        <v>70</v>
      </c>
      <c r="V136" s="649" t="s">
        <v>12</v>
      </c>
      <c r="W136" s="649" t="s">
        <v>12</v>
      </c>
      <c r="X136" s="702">
        <f t="shared" si="287"/>
        <v>70</v>
      </c>
      <c r="Y136" s="528">
        <f t="shared" si="288"/>
        <v>140</v>
      </c>
      <c r="Z136" s="531">
        <f t="shared" si="289"/>
        <v>163</v>
      </c>
      <c r="AA136" s="702">
        <f t="shared" si="290"/>
        <v>79.28</v>
      </c>
      <c r="AB136" s="700">
        <f t="shared" si="291"/>
        <v>116.95399999999999</v>
      </c>
      <c r="AC136" s="1361">
        <v>166</v>
      </c>
      <c r="AD136" s="702">
        <f t="shared" si="305"/>
        <v>68.667000000000002</v>
      </c>
      <c r="AE136" s="624">
        <f t="shared" si="292"/>
        <v>68.667000000000002</v>
      </c>
      <c r="AF136" s="712">
        <f t="shared" si="293"/>
        <v>137.334</v>
      </c>
      <c r="AG136" s="280">
        <f t="shared" si="294"/>
        <v>160.334</v>
      </c>
      <c r="AH136" s="699">
        <f t="shared" si="295"/>
        <v>114.288</v>
      </c>
      <c r="AI136" s="1263" t="s">
        <v>763</v>
      </c>
      <c r="AJ136" s="1363">
        <v>74</v>
      </c>
      <c r="AK136" s="969">
        <f t="shared" si="296"/>
        <v>380</v>
      </c>
      <c r="AL136" s="969">
        <f t="shared" si="297"/>
        <v>-64</v>
      </c>
      <c r="AM136" s="623">
        <f>31+15</f>
        <v>46</v>
      </c>
      <c r="AN136" s="273">
        <f>373+(23)+AM136</f>
        <v>442</v>
      </c>
      <c r="AO136" s="274">
        <f t="shared" si="298"/>
        <v>-279</v>
      </c>
      <c r="AP136" s="1125"/>
      <c r="AQ136" s="344" t="s">
        <v>44</v>
      </c>
      <c r="AR136" s="276">
        <f t="shared" si="299"/>
        <v>83.72</v>
      </c>
      <c r="AS136" s="183">
        <f t="shared" si="300"/>
        <v>163</v>
      </c>
      <c r="AT136" s="276">
        <f t="shared" si="301"/>
        <v>442</v>
      </c>
      <c r="AU136" s="733">
        <f t="shared" si="302"/>
        <v>-65.799999999999955</v>
      </c>
      <c r="AV136" s="460">
        <f t="shared" si="303"/>
        <v>-64</v>
      </c>
      <c r="BE136" s="1625">
        <f t="shared" si="306"/>
        <v>25</v>
      </c>
      <c r="BF136" s="1653"/>
      <c r="BG136" s="299">
        <v>1</v>
      </c>
      <c r="BH136" s="1653"/>
      <c r="BI136" s="1653"/>
      <c r="BJ136" s="1653"/>
      <c r="BK136" s="1653"/>
      <c r="BL136" s="1653"/>
      <c r="BM136" s="1653"/>
      <c r="BN136" s="1653"/>
      <c r="BO136" s="1653"/>
      <c r="BP136" s="1653"/>
      <c r="BQ136" s="1653"/>
      <c r="BR136" s="1653"/>
      <c r="BS136" s="1653"/>
      <c r="BT136" s="1653"/>
    </row>
    <row r="137" spans="1:72" s="180" customFormat="1">
      <c r="A137" s="896">
        <f t="shared" si="307"/>
        <v>49</v>
      </c>
      <c r="B137" s="888">
        <f>B135+1</f>
        <v>24</v>
      </c>
      <c r="C137" s="344" t="s">
        <v>628</v>
      </c>
      <c r="D137" s="607">
        <v>172</v>
      </c>
      <c r="E137" s="862">
        <f>(2*D137)</f>
        <v>344</v>
      </c>
      <c r="F137" s="739">
        <f>(2*156)</f>
        <v>312</v>
      </c>
      <c r="G137" s="656">
        <f t="shared" si="283"/>
        <v>358.79999999999995</v>
      </c>
      <c r="H137" s="816">
        <f t="shared" si="304"/>
        <v>79.12</v>
      </c>
      <c r="I137" s="273">
        <f>0.5*(H137*1.1)</f>
        <v>43.516000000000005</v>
      </c>
      <c r="J137" s="862" t="s">
        <v>12</v>
      </c>
      <c r="K137" s="656">
        <v>15</v>
      </c>
      <c r="L137" s="656">
        <v>59</v>
      </c>
      <c r="M137" s="656">
        <v>200</v>
      </c>
      <c r="N137" s="862" t="s">
        <v>12</v>
      </c>
      <c r="O137" s="862" t="s">
        <v>12</v>
      </c>
      <c r="P137" s="862" t="s">
        <v>12</v>
      </c>
      <c r="Q137" s="656">
        <f t="shared" si="284"/>
        <v>274</v>
      </c>
      <c r="R137" s="402">
        <f t="shared" si="285"/>
        <v>548</v>
      </c>
      <c r="S137" s="690">
        <f t="shared" si="286"/>
        <v>690</v>
      </c>
      <c r="T137" s="704">
        <v>0</v>
      </c>
      <c r="U137" s="624">
        <v>47</v>
      </c>
      <c r="V137" s="649" t="s">
        <v>12</v>
      </c>
      <c r="W137" s="639">
        <v>10</v>
      </c>
      <c r="X137" s="624">
        <f t="shared" si="287"/>
        <v>57</v>
      </c>
      <c r="Y137" s="524">
        <f t="shared" si="288"/>
        <v>114</v>
      </c>
      <c r="Z137" s="531">
        <f t="shared" si="289"/>
        <v>137</v>
      </c>
      <c r="AA137" s="624">
        <f t="shared" si="290"/>
        <v>57.879999999999995</v>
      </c>
      <c r="AB137" s="653">
        <f t="shared" si="291"/>
        <v>93.483999999999995</v>
      </c>
      <c r="AC137" s="968">
        <v>172</v>
      </c>
      <c r="AD137" s="702">
        <f t="shared" si="305"/>
        <v>69.924000000000007</v>
      </c>
      <c r="AE137" s="624">
        <f t="shared" si="292"/>
        <v>79.924000000000007</v>
      </c>
      <c r="AF137" s="654">
        <f t="shared" si="293"/>
        <v>159.84800000000001</v>
      </c>
      <c r="AG137" s="280">
        <f t="shared" si="294"/>
        <v>182.84800000000001</v>
      </c>
      <c r="AH137" s="623">
        <f t="shared" si="295"/>
        <v>139.33199999999999</v>
      </c>
      <c r="AI137" s="1263" t="s">
        <v>772</v>
      </c>
      <c r="AJ137" s="969">
        <v>220</v>
      </c>
      <c r="AK137" s="969">
        <f t="shared" si="296"/>
        <v>672</v>
      </c>
      <c r="AL137" s="1262">
        <f t="shared" si="297"/>
        <v>18</v>
      </c>
      <c r="AM137" s="623" t="s">
        <v>758</v>
      </c>
      <c r="AN137" s="273">
        <f>510+(23)</f>
        <v>533</v>
      </c>
      <c r="AO137" s="274">
        <f t="shared" si="298"/>
        <v>-396</v>
      </c>
      <c r="AP137" s="1118"/>
      <c r="AQ137" s="367" t="s">
        <v>140</v>
      </c>
      <c r="AR137" s="276">
        <f t="shared" si="299"/>
        <v>79.12</v>
      </c>
      <c r="AS137" s="183">
        <f t="shared" si="300"/>
        <v>137</v>
      </c>
      <c r="AT137" s="276">
        <f t="shared" si="301"/>
        <v>533</v>
      </c>
      <c r="AU137" s="733">
        <f t="shared" si="302"/>
        <v>331.20000000000005</v>
      </c>
      <c r="AV137" s="460">
        <f t="shared" si="303"/>
        <v>18</v>
      </c>
      <c r="BB137" s="275"/>
      <c r="BC137" s="277"/>
      <c r="BD137" s="277"/>
      <c r="BE137" s="1624">
        <f t="shared" si="306"/>
        <v>24</v>
      </c>
      <c r="BF137" s="278"/>
      <c r="BG137" s="1630"/>
      <c r="BH137" s="1630"/>
      <c r="BI137" s="1630"/>
      <c r="BJ137" s="1630"/>
      <c r="BK137" s="1630"/>
      <c r="BL137" s="1630"/>
      <c r="BM137" s="1630"/>
      <c r="BN137" s="1630"/>
      <c r="BO137" s="1630"/>
      <c r="BP137" s="1630"/>
      <c r="BQ137" s="299">
        <v>1</v>
      </c>
      <c r="BR137" s="299"/>
      <c r="BS137" s="1630"/>
      <c r="BT137" s="1630"/>
    </row>
    <row r="138" spans="1:72" s="298" customFormat="1">
      <c r="A138" s="896">
        <f t="shared" si="307"/>
        <v>50</v>
      </c>
      <c r="B138" s="888">
        <f>B137+1</f>
        <v>25</v>
      </c>
      <c r="C138" s="342" t="s">
        <v>629</v>
      </c>
      <c r="D138" s="607">
        <v>84</v>
      </c>
      <c r="E138" s="862">
        <f>(2*D138)</f>
        <v>168</v>
      </c>
      <c r="F138" s="862">
        <f>(2*91)</f>
        <v>182</v>
      </c>
      <c r="G138" s="656">
        <f t="shared" si="283"/>
        <v>209.29999999999998</v>
      </c>
      <c r="H138" s="816">
        <f t="shared" si="304"/>
        <v>38.64</v>
      </c>
      <c r="I138" s="273">
        <f>0.5*(H138*1.1)</f>
        <v>21.252000000000002</v>
      </c>
      <c r="J138" s="862" t="s">
        <v>12</v>
      </c>
      <c r="K138" s="656">
        <v>0</v>
      </c>
      <c r="L138" s="656">
        <f>66-23</f>
        <v>43</v>
      </c>
      <c r="M138" s="656">
        <v>0</v>
      </c>
      <c r="N138" s="862" t="s">
        <v>12</v>
      </c>
      <c r="O138" s="862" t="s">
        <v>12</v>
      </c>
      <c r="P138" s="862" t="s">
        <v>12</v>
      </c>
      <c r="Q138" s="656">
        <f t="shared" si="284"/>
        <v>43</v>
      </c>
      <c r="R138" s="402">
        <f t="shared" si="285"/>
        <v>86</v>
      </c>
      <c r="S138" s="690">
        <f t="shared" si="286"/>
        <v>228</v>
      </c>
      <c r="T138" s="704">
        <v>0</v>
      </c>
      <c r="U138" s="624">
        <v>55</v>
      </c>
      <c r="V138" s="649" t="s">
        <v>12</v>
      </c>
      <c r="W138" s="649" t="s">
        <v>12</v>
      </c>
      <c r="X138" s="624">
        <f t="shared" si="287"/>
        <v>55</v>
      </c>
      <c r="Y138" s="524">
        <f t="shared" si="288"/>
        <v>110</v>
      </c>
      <c r="Z138" s="531">
        <f t="shared" si="289"/>
        <v>133</v>
      </c>
      <c r="AA138" s="624">
        <f t="shared" si="290"/>
        <v>94.36</v>
      </c>
      <c r="AB138" s="653">
        <f t="shared" si="291"/>
        <v>111.74799999999999</v>
      </c>
      <c r="AC138" s="968">
        <f>199-78+59</f>
        <v>180</v>
      </c>
      <c r="AD138" s="702">
        <f t="shared" si="305"/>
        <v>71.599999999999994</v>
      </c>
      <c r="AE138" s="624">
        <f>X138-U138+AD138</f>
        <v>71.599999999999994</v>
      </c>
      <c r="AF138" s="654">
        <f t="shared" si="293"/>
        <v>143.19999999999999</v>
      </c>
      <c r="AG138" s="280">
        <f t="shared" si="294"/>
        <v>166.2</v>
      </c>
      <c r="AH138" s="624">
        <f t="shared" si="295"/>
        <v>144.94799999999998</v>
      </c>
      <c r="AI138" s="1263" t="s">
        <v>767</v>
      </c>
      <c r="AJ138" s="969">
        <v>255</v>
      </c>
      <c r="AK138" s="969">
        <f t="shared" si="296"/>
        <v>742</v>
      </c>
      <c r="AL138" s="673">
        <f t="shared" si="297"/>
        <v>-514</v>
      </c>
      <c r="AM138" s="623">
        <f>15+15</f>
        <v>30</v>
      </c>
      <c r="AN138" s="273">
        <f>466+(23)+AM138</f>
        <v>519</v>
      </c>
      <c r="AO138" s="274">
        <f t="shared" si="298"/>
        <v>-386</v>
      </c>
      <c r="AP138" s="1118"/>
      <c r="AQ138" s="344" t="s">
        <v>141</v>
      </c>
      <c r="AR138" s="276">
        <f t="shared" si="299"/>
        <v>38.64</v>
      </c>
      <c r="AS138" s="183">
        <f t="shared" si="300"/>
        <v>133</v>
      </c>
      <c r="AT138" s="276">
        <f t="shared" si="301"/>
        <v>519</v>
      </c>
      <c r="AU138" s="733">
        <f t="shared" si="302"/>
        <v>18.700000000000017</v>
      </c>
      <c r="AV138" s="460">
        <f t="shared" si="303"/>
        <v>-514</v>
      </c>
      <c r="BB138" s="270"/>
      <c r="BC138" s="316"/>
      <c r="BD138" s="316"/>
      <c r="BE138" s="1624">
        <f t="shared" si="306"/>
        <v>25</v>
      </c>
      <c r="BF138" s="317"/>
      <c r="BG138" s="299"/>
      <c r="BH138" s="299"/>
      <c r="BI138" s="299"/>
      <c r="BJ138" s="299"/>
      <c r="BK138" s="299">
        <v>1</v>
      </c>
      <c r="BL138" s="299"/>
      <c r="BM138" s="299"/>
      <c r="BN138" s="299"/>
      <c r="BO138" s="299"/>
      <c r="BP138" s="299"/>
      <c r="BQ138" s="299"/>
      <c r="BR138" s="299"/>
      <c r="BS138" s="299"/>
      <c r="BT138" s="299"/>
    </row>
    <row r="139" spans="1:72" s="348" customFormat="1">
      <c r="A139" s="896">
        <f t="shared" si="307"/>
        <v>51</v>
      </c>
      <c r="B139" s="888">
        <f>B138+1</f>
        <v>26</v>
      </c>
      <c r="C139" s="346" t="s">
        <v>179</v>
      </c>
      <c r="D139" s="607">
        <v>157</v>
      </c>
      <c r="E139" s="862">
        <f>(2*D139)</f>
        <v>314</v>
      </c>
      <c r="F139" s="862">
        <f>2*169</f>
        <v>338</v>
      </c>
      <c r="G139" s="656">
        <f t="shared" si="283"/>
        <v>388.7</v>
      </c>
      <c r="H139" s="816">
        <f t="shared" si="304"/>
        <v>72.22</v>
      </c>
      <c r="I139" s="273">
        <f>0.5*(H139*1.1)</f>
        <v>39.721000000000004</v>
      </c>
      <c r="J139" s="862" t="s">
        <v>12</v>
      </c>
      <c r="K139" s="862" t="s">
        <v>12</v>
      </c>
      <c r="L139" s="862">
        <f>200-70</f>
        <v>130</v>
      </c>
      <c r="M139" s="862" t="s">
        <v>12</v>
      </c>
      <c r="N139" s="862" t="s">
        <v>12</v>
      </c>
      <c r="O139" s="862" t="s">
        <v>12</v>
      </c>
      <c r="P139" s="862" t="s">
        <v>12</v>
      </c>
      <c r="Q139" s="862">
        <f t="shared" si="284"/>
        <v>130</v>
      </c>
      <c r="R139" s="402">
        <f t="shared" si="285"/>
        <v>260</v>
      </c>
      <c r="S139" s="690">
        <f t="shared" si="286"/>
        <v>402</v>
      </c>
      <c r="T139" s="644">
        <v>0</v>
      </c>
      <c r="U139" s="624">
        <v>63</v>
      </c>
      <c r="V139" s="624" t="s">
        <v>12</v>
      </c>
      <c r="W139" s="624" t="s">
        <v>12</v>
      </c>
      <c r="X139" s="624">
        <f t="shared" si="287"/>
        <v>63</v>
      </c>
      <c r="Y139" s="528">
        <f t="shared" si="288"/>
        <v>126</v>
      </c>
      <c r="Z139" s="531">
        <f t="shared" si="289"/>
        <v>149</v>
      </c>
      <c r="AA139" s="702">
        <f t="shared" si="290"/>
        <v>76.78</v>
      </c>
      <c r="AB139" s="700">
        <f t="shared" si="291"/>
        <v>109.279</v>
      </c>
      <c r="AC139" s="968">
        <v>187</v>
      </c>
      <c r="AD139" s="702">
        <f t="shared" si="305"/>
        <v>73.066499999999991</v>
      </c>
      <c r="AE139" s="624">
        <f>X139-U139+AD139</f>
        <v>73.066499999999991</v>
      </c>
      <c r="AF139" s="654">
        <f t="shared" si="293"/>
        <v>146.13299999999998</v>
      </c>
      <c r="AG139" s="280">
        <f t="shared" si="294"/>
        <v>169.13299999999998</v>
      </c>
      <c r="AH139" s="702">
        <f t="shared" si="295"/>
        <v>129.41199999999998</v>
      </c>
      <c r="AI139" s="1263" t="s">
        <v>762</v>
      </c>
      <c r="AJ139" s="969">
        <v>240</v>
      </c>
      <c r="AK139" s="969">
        <f t="shared" si="296"/>
        <v>712</v>
      </c>
      <c r="AL139" s="673">
        <f t="shared" si="297"/>
        <v>-310</v>
      </c>
      <c r="AM139" s="623">
        <v>15</v>
      </c>
      <c r="AN139" s="373">
        <f>906+23+AM139</f>
        <v>944</v>
      </c>
      <c r="AO139" s="274">
        <f t="shared" si="298"/>
        <v>-795</v>
      </c>
      <c r="AP139" s="1125"/>
      <c r="AQ139" s="344" t="s">
        <v>184</v>
      </c>
      <c r="AR139" s="276">
        <f t="shared" si="299"/>
        <v>72.22</v>
      </c>
      <c r="AS139" s="183">
        <f t="shared" si="300"/>
        <v>149</v>
      </c>
      <c r="AT139" s="276">
        <f t="shared" si="301"/>
        <v>944</v>
      </c>
      <c r="AU139" s="733">
        <f t="shared" si="302"/>
        <v>13.300000000000011</v>
      </c>
      <c r="AV139" s="460">
        <f t="shared" si="303"/>
        <v>-310</v>
      </c>
      <c r="BE139" s="1624">
        <f t="shared" si="306"/>
        <v>26</v>
      </c>
      <c r="BF139" s="1653"/>
      <c r="BG139" s="1653"/>
      <c r="BH139" s="299">
        <v>1</v>
      </c>
      <c r="BI139" s="299"/>
      <c r="BJ139" s="1653"/>
      <c r="BK139" s="1653"/>
      <c r="BL139" s="1653"/>
      <c r="BM139" s="1653"/>
      <c r="BN139" s="1653"/>
      <c r="BO139" s="1653"/>
      <c r="BP139" s="1653"/>
      <c r="BQ139" s="1653"/>
      <c r="BR139" s="1653"/>
      <c r="BS139" s="1653"/>
      <c r="BT139" s="1653"/>
    </row>
    <row r="140" spans="1:72" ht="325" customHeight="1">
      <c r="C140" s="1200" t="s">
        <v>899</v>
      </c>
      <c r="D140" s="1817" t="s">
        <v>927</v>
      </c>
      <c r="E140" s="1688"/>
      <c r="F140" s="1294" t="s">
        <v>903</v>
      </c>
      <c r="G140" s="1296" t="s">
        <v>904</v>
      </c>
      <c r="H140" s="1238" t="s">
        <v>345</v>
      </c>
      <c r="I140" s="1027"/>
      <c r="J140" s="1358" t="s">
        <v>424</v>
      </c>
      <c r="K140" s="1297" t="s">
        <v>195</v>
      </c>
      <c r="L140" s="1297" t="s">
        <v>423</v>
      </c>
      <c r="M140" s="1297" t="s">
        <v>928</v>
      </c>
      <c r="N140" s="172"/>
      <c r="O140" s="68"/>
      <c r="P140" s="172"/>
      <c r="Q140" s="69"/>
      <c r="R140" s="425"/>
      <c r="S140" s="1338" t="s">
        <v>983</v>
      </c>
      <c r="T140" s="51"/>
      <c r="U140" s="1252" t="s">
        <v>351</v>
      </c>
      <c r="V140" s="634"/>
      <c r="W140" s="1028" t="s">
        <v>924</v>
      </c>
      <c r="X140" s="51"/>
      <c r="Y140" s="120"/>
      <c r="Z140" s="1350" t="s">
        <v>976</v>
      </c>
      <c r="AA140" s="174"/>
      <c r="AB140" s="1260" t="s">
        <v>349</v>
      </c>
      <c r="AC140" s="1362" t="s">
        <v>929</v>
      </c>
      <c r="AD140" s="1260" t="s">
        <v>350</v>
      </c>
      <c r="AE140" s="140"/>
      <c r="AF140" s="117"/>
      <c r="AG140" s="1350" t="s">
        <v>976</v>
      </c>
      <c r="AH140" s="420"/>
      <c r="AI140" s="1101"/>
      <c r="AJ140" s="1545" t="s">
        <v>1153</v>
      </c>
      <c r="AK140" s="399"/>
      <c r="AL140" s="1596" t="s">
        <v>1199</v>
      </c>
      <c r="AM140" s="47"/>
      <c r="AN140" s="1291" t="s">
        <v>885</v>
      </c>
      <c r="AO140" s="73"/>
      <c r="AQ140" s="797"/>
      <c r="AR140" s="797"/>
      <c r="AS140" s="797"/>
      <c r="AT140" s="797"/>
      <c r="AU140" s="797"/>
      <c r="AV140" s="797"/>
      <c r="BB140" s="3"/>
      <c r="BC140" s="11"/>
      <c r="BD140" s="11"/>
      <c r="BE140" s="11"/>
      <c r="BF140" s="30"/>
    </row>
    <row r="141" spans="1:72">
      <c r="AN141" s="116"/>
      <c r="AR141" s="38"/>
      <c r="AS141" s="38"/>
      <c r="AT141" s="38"/>
      <c r="AU141" s="38"/>
      <c r="AV141" s="1606"/>
      <c r="AW141" s="510" t="s">
        <v>105</v>
      </c>
    </row>
    <row r="142" spans="1:72" s="14" customFormat="1">
      <c r="A142" s="927"/>
      <c r="B142" s="898"/>
      <c r="C142" s="1814"/>
      <c r="D142" s="1815"/>
      <c r="E142" s="1815"/>
      <c r="F142" s="1815"/>
      <c r="G142" s="1815"/>
      <c r="H142" s="1815"/>
      <c r="I142" s="1815"/>
      <c r="J142" s="1815"/>
      <c r="K142" s="1815"/>
      <c r="L142" s="1815"/>
      <c r="M142" s="1815"/>
      <c r="N142" s="1815"/>
      <c r="O142" s="1815"/>
      <c r="P142" s="1815"/>
      <c r="Q142" s="1815"/>
      <c r="R142" s="1815"/>
      <c r="S142" s="1815"/>
      <c r="T142" s="1816"/>
      <c r="U142" s="1816"/>
      <c r="V142" s="1816"/>
      <c r="W142" s="1816"/>
      <c r="X142" s="1816"/>
      <c r="Y142" s="1816"/>
      <c r="Z142" s="1816"/>
      <c r="AA142" s="1816"/>
      <c r="AB142" s="1816"/>
      <c r="AC142" s="1816"/>
      <c r="AD142" s="1816"/>
      <c r="AE142" s="1816"/>
      <c r="AF142" s="1816"/>
      <c r="AG142" s="1816"/>
      <c r="AH142" s="1816"/>
      <c r="AI142" s="1816"/>
      <c r="AJ142" s="1816"/>
      <c r="AK142" s="72"/>
      <c r="AL142" s="31"/>
      <c r="AM142" s="31"/>
      <c r="AN142" s="68"/>
      <c r="AO142" s="884"/>
      <c r="AP142" s="1116"/>
      <c r="AQ142" s="170"/>
      <c r="AR142" s="38"/>
      <c r="AS142" s="38"/>
      <c r="AT142" s="38"/>
      <c r="AU142" s="38"/>
      <c r="AV142" s="38"/>
      <c r="BF142" s="199"/>
      <c r="BG142" s="199"/>
      <c r="BH142" s="199"/>
      <c r="BI142" s="199"/>
      <c r="BJ142" s="199"/>
      <c r="BK142" s="199"/>
      <c r="BL142" s="199"/>
      <c r="BM142" s="199"/>
      <c r="BN142" s="199"/>
      <c r="BO142" s="199"/>
      <c r="BP142" s="199"/>
      <c r="BQ142" s="199"/>
      <c r="BR142" s="199"/>
      <c r="BS142" s="199"/>
      <c r="BT142" s="199"/>
    </row>
    <row r="143" spans="1:72" s="1229" customFormat="1" ht="38" customHeight="1">
      <c r="A143" s="1329"/>
      <c r="B143" s="1216" t="s">
        <v>204</v>
      </c>
      <c r="C143" s="1559" t="s">
        <v>35</v>
      </c>
      <c r="D143" s="1690" t="s">
        <v>168</v>
      </c>
      <c r="E143" s="1792"/>
      <c r="F143" s="1792"/>
      <c r="G143" s="1792"/>
      <c r="H143" s="1792"/>
      <c r="I143" s="1793"/>
      <c r="J143" s="1788" t="s">
        <v>645</v>
      </c>
      <c r="K143" s="1789"/>
      <c r="L143" s="1790"/>
      <c r="M143" s="1790"/>
      <c r="N143" s="1790"/>
      <c r="O143" s="1790"/>
      <c r="P143" s="1791"/>
      <c r="Q143" s="1790"/>
      <c r="R143" s="1684" t="s">
        <v>882</v>
      </c>
      <c r="S143" s="1779"/>
      <c r="T143" s="1786" t="s">
        <v>664</v>
      </c>
      <c r="U143" s="1787"/>
      <c r="V143" s="1787"/>
      <c r="W143" s="1787"/>
      <c r="X143" s="1787"/>
      <c r="Y143" s="1811" t="s">
        <v>648</v>
      </c>
      <c r="Z143" s="1812"/>
      <c r="AA143" s="1276"/>
      <c r="AB143" s="1276"/>
      <c r="AC143" s="1784" t="s">
        <v>162</v>
      </c>
      <c r="AD143" s="1785"/>
      <c r="AE143" s="1785"/>
      <c r="AF143" s="1782" t="s">
        <v>883</v>
      </c>
      <c r="AG143" s="1783"/>
      <c r="AH143" s="1276"/>
      <c r="AI143" s="1277"/>
      <c r="AJ143" s="1366"/>
      <c r="AK143" s="1536" t="s">
        <v>167</v>
      </c>
      <c r="AL143" s="1536"/>
      <c r="AM143" s="1536"/>
      <c r="AN143" s="1537"/>
      <c r="AO143" s="1278"/>
      <c r="AP143" s="1279"/>
      <c r="AQ143" s="1367"/>
      <c r="AR143" s="1368"/>
      <c r="AS143" s="1369"/>
      <c r="AT143" s="1369"/>
      <c r="AU143" s="1370"/>
      <c r="BF143" s="1329"/>
      <c r="BG143" s="1329"/>
      <c r="BH143" s="1329"/>
      <c r="BI143" s="1329"/>
      <c r="BJ143" s="1329"/>
      <c r="BK143" s="1329"/>
      <c r="BL143" s="1329"/>
      <c r="BM143" s="1329"/>
      <c r="BN143" s="1329"/>
      <c r="BO143" s="1329"/>
      <c r="BP143" s="1329"/>
      <c r="BQ143" s="1329"/>
      <c r="BR143" s="1329"/>
      <c r="BS143" s="1329"/>
      <c r="BT143" s="1329"/>
    </row>
    <row r="144" spans="1:72">
      <c r="C144" s="505"/>
      <c r="D144" s="109">
        <v>1</v>
      </c>
      <c r="E144" s="50">
        <f t="shared" ref="E144:AL144" si="308">D144+1</f>
        <v>2</v>
      </c>
      <c r="F144" s="50">
        <f t="shared" si="308"/>
        <v>3</v>
      </c>
      <c r="G144" s="50">
        <f t="shared" si="308"/>
        <v>4</v>
      </c>
      <c r="H144" s="50">
        <f t="shared" si="308"/>
        <v>5</v>
      </c>
      <c r="I144" s="110">
        <f t="shared" si="308"/>
        <v>6</v>
      </c>
      <c r="J144" s="109">
        <f t="shared" si="308"/>
        <v>7</v>
      </c>
      <c r="K144" s="50">
        <f t="shared" si="308"/>
        <v>8</v>
      </c>
      <c r="L144" s="50">
        <f t="shared" si="308"/>
        <v>9</v>
      </c>
      <c r="M144" s="50">
        <f t="shared" si="308"/>
        <v>10</v>
      </c>
      <c r="N144" s="50">
        <f t="shared" si="308"/>
        <v>11</v>
      </c>
      <c r="O144" s="50">
        <f t="shared" si="308"/>
        <v>12</v>
      </c>
      <c r="P144" s="50">
        <f t="shared" si="308"/>
        <v>13</v>
      </c>
      <c r="Q144" s="50">
        <f t="shared" si="308"/>
        <v>14</v>
      </c>
      <c r="R144" s="1005">
        <f t="shared" si="308"/>
        <v>15</v>
      </c>
      <c r="S144" s="1007">
        <f t="shared" si="308"/>
        <v>16</v>
      </c>
      <c r="T144" s="109">
        <f t="shared" si="308"/>
        <v>17</v>
      </c>
      <c r="U144" s="50">
        <f t="shared" si="308"/>
        <v>18</v>
      </c>
      <c r="V144" s="50">
        <f t="shared" si="308"/>
        <v>19</v>
      </c>
      <c r="W144" s="50">
        <f t="shared" si="308"/>
        <v>20</v>
      </c>
      <c r="X144" s="50">
        <f t="shared" si="308"/>
        <v>21</v>
      </c>
      <c r="Y144" s="1005">
        <f t="shared" si="308"/>
        <v>22</v>
      </c>
      <c r="Z144" s="1007">
        <f t="shared" si="308"/>
        <v>23</v>
      </c>
      <c r="AA144" s="50">
        <f t="shared" si="308"/>
        <v>24</v>
      </c>
      <c r="AB144" s="110">
        <f t="shared" si="308"/>
        <v>25</v>
      </c>
      <c r="AC144" s="109">
        <f t="shared" si="308"/>
        <v>26</v>
      </c>
      <c r="AD144" s="50">
        <f t="shared" si="308"/>
        <v>27</v>
      </c>
      <c r="AE144" s="50">
        <f t="shared" si="308"/>
        <v>28</v>
      </c>
      <c r="AF144" s="1005">
        <f t="shared" si="308"/>
        <v>29</v>
      </c>
      <c r="AG144" s="1007">
        <f t="shared" si="308"/>
        <v>30</v>
      </c>
      <c r="AH144" s="50">
        <f t="shared" si="308"/>
        <v>31</v>
      </c>
      <c r="AI144" s="109">
        <f>AH144+1</f>
        <v>32</v>
      </c>
      <c r="AJ144" s="50">
        <f>AI144+1</f>
        <v>33</v>
      </c>
      <c r="AK144" s="50">
        <f t="shared" si="308"/>
        <v>34</v>
      </c>
      <c r="AL144" s="50">
        <f t="shared" si="308"/>
        <v>35</v>
      </c>
      <c r="AM144" s="50">
        <f t="shared" ref="AM144" si="309">AL144+1</f>
        <v>36</v>
      </c>
      <c r="AN144" s="110">
        <f t="shared" ref="AN144" si="310">AM144+1</f>
        <v>37</v>
      </c>
      <c r="AO144" s="50">
        <f t="shared" ref="AO144" si="311">AN144+1</f>
        <v>38</v>
      </c>
      <c r="AQ144" s="45"/>
      <c r="AR144" s="32"/>
      <c r="AS144" s="16"/>
      <c r="AT144" s="16"/>
    </row>
    <row r="145" spans="1:72" ht="113" customHeight="1">
      <c r="C145" s="1365" t="s">
        <v>930</v>
      </c>
      <c r="D145" s="1234" t="s">
        <v>321</v>
      </c>
      <c r="E145" s="1235" t="s">
        <v>310</v>
      </c>
      <c r="F145" s="1235" t="s">
        <v>311</v>
      </c>
      <c r="G145" s="1240" t="s">
        <v>234</v>
      </c>
      <c r="H145" s="805" t="s">
        <v>247</v>
      </c>
      <c r="I145" s="1002" t="s">
        <v>604</v>
      </c>
      <c r="J145" s="1239" t="s">
        <v>297</v>
      </c>
      <c r="K145" s="1240" t="s">
        <v>1234</v>
      </c>
      <c r="L145" s="1240" t="s">
        <v>1235</v>
      </c>
      <c r="M145" s="1240" t="s">
        <v>1236</v>
      </c>
      <c r="N145" s="1240" t="s">
        <v>322</v>
      </c>
      <c r="O145" s="1235" t="s">
        <v>322</v>
      </c>
      <c r="P145" s="1235" t="s">
        <v>322</v>
      </c>
      <c r="Q145" s="1286" t="s">
        <v>415</v>
      </c>
      <c r="R145" s="602" t="s">
        <v>257</v>
      </c>
      <c r="S145" s="400" t="s">
        <v>363</v>
      </c>
      <c r="T145" s="1013" t="s">
        <v>323</v>
      </c>
      <c r="U145" s="1010" t="s">
        <v>324</v>
      </c>
      <c r="V145" s="1010" t="s">
        <v>325</v>
      </c>
      <c r="W145" s="1010" t="s">
        <v>326</v>
      </c>
      <c r="X145" s="872" t="s">
        <v>262</v>
      </c>
      <c r="Y145" s="523" t="s">
        <v>995</v>
      </c>
      <c r="Z145" s="599" t="s">
        <v>996</v>
      </c>
      <c r="AA145" s="1010" t="s">
        <v>265</v>
      </c>
      <c r="AB145" s="1010" t="s">
        <v>266</v>
      </c>
      <c r="AC145" s="1239" t="s">
        <v>627</v>
      </c>
      <c r="AD145" s="1010" t="s">
        <v>268</v>
      </c>
      <c r="AE145" s="1010" t="s">
        <v>269</v>
      </c>
      <c r="AF145" s="186" t="s">
        <v>344</v>
      </c>
      <c r="AG145" s="600" t="s">
        <v>270</v>
      </c>
      <c r="AH145" s="1010" t="s">
        <v>320</v>
      </c>
      <c r="AI145" s="1266" t="s">
        <v>812</v>
      </c>
      <c r="AJ145" s="1267" t="s">
        <v>809</v>
      </c>
      <c r="AK145" s="1546" t="s">
        <v>14</v>
      </c>
      <c r="AL145" s="1269" t="s">
        <v>0</v>
      </c>
      <c r="AM145" s="1010" t="s">
        <v>810</v>
      </c>
      <c r="AN145" s="1002" t="s">
        <v>746</v>
      </c>
      <c r="AO145" s="266" t="s">
        <v>272</v>
      </c>
      <c r="AQ145" s="1383" t="s">
        <v>308</v>
      </c>
      <c r="AR145" s="805" t="s">
        <v>357</v>
      </c>
      <c r="AS145" s="988" t="s">
        <v>273</v>
      </c>
      <c r="AT145" s="806" t="s">
        <v>567</v>
      </c>
      <c r="AU145" s="1008" t="s">
        <v>811</v>
      </c>
      <c r="AV145" s="1008" t="s">
        <v>745</v>
      </c>
      <c r="BE145" s="1149" t="s">
        <v>822</v>
      </c>
    </row>
    <row r="146" spans="1:72" s="298" customFormat="1">
      <c r="A146" s="896">
        <f>A139+1</f>
        <v>52</v>
      </c>
      <c r="B146" s="878">
        <f>B136+1</f>
        <v>26</v>
      </c>
      <c r="C146" s="349" t="s">
        <v>180</v>
      </c>
      <c r="D146" s="607">
        <v>205</v>
      </c>
      <c r="E146" s="862">
        <f>(2*D146)</f>
        <v>410</v>
      </c>
      <c r="F146" s="862">
        <f>(2*188)</f>
        <v>376</v>
      </c>
      <c r="G146" s="656">
        <f>F146*1.15</f>
        <v>432.4</v>
      </c>
      <c r="H146" s="274">
        <f>E146*0.23</f>
        <v>94.3</v>
      </c>
      <c r="I146" s="273">
        <f>0.5*(H146*1.1)</f>
        <v>51.865000000000002</v>
      </c>
      <c r="J146" s="862" t="s">
        <v>12</v>
      </c>
      <c r="K146" s="862">
        <f>135-38</f>
        <v>97</v>
      </c>
      <c r="L146" s="862" t="s">
        <v>12</v>
      </c>
      <c r="M146" s="862" t="s">
        <v>12</v>
      </c>
      <c r="N146" s="862" t="s">
        <v>12</v>
      </c>
      <c r="O146" s="862" t="s">
        <v>12</v>
      </c>
      <c r="P146" s="862" t="s">
        <v>12</v>
      </c>
      <c r="Q146" s="862">
        <f>SUM(J146:P146)</f>
        <v>97</v>
      </c>
      <c r="R146" s="402">
        <f>2*Q146</f>
        <v>194</v>
      </c>
      <c r="S146" s="690">
        <f>R146+(2*71)</f>
        <v>336</v>
      </c>
      <c r="T146" s="624" t="s">
        <v>12</v>
      </c>
      <c r="U146" s="624">
        <v>78</v>
      </c>
      <c r="V146" s="624" t="s">
        <v>12</v>
      </c>
      <c r="W146" s="624" t="s">
        <v>12</v>
      </c>
      <c r="X146" s="624">
        <f>SUM(T146:W146)</f>
        <v>78</v>
      </c>
      <c r="Y146" s="528">
        <f>2*X146</f>
        <v>156</v>
      </c>
      <c r="Z146" s="531">
        <f>Y146+(23)</f>
        <v>179</v>
      </c>
      <c r="AA146" s="702">
        <f>Z146-H146</f>
        <v>84.7</v>
      </c>
      <c r="AB146" s="700">
        <f>Z146-I146</f>
        <v>127.13499999999999</v>
      </c>
      <c r="AC146" s="607">
        <f>(294-84)</f>
        <v>210</v>
      </c>
      <c r="AD146" s="624">
        <f>33.89+(0.2095*AC146)</f>
        <v>77.884999999999991</v>
      </c>
      <c r="AE146" s="624">
        <f>X146-U146+AD146</f>
        <v>77.884999999999991</v>
      </c>
      <c r="AF146" s="281">
        <f>2*AE146</f>
        <v>155.76999999999998</v>
      </c>
      <c r="AG146" s="280">
        <f>AF146+(23)</f>
        <v>178.76999999999998</v>
      </c>
      <c r="AH146" s="702">
        <f>AG146-I146</f>
        <v>126.90499999999997</v>
      </c>
      <c r="AI146" s="1263" t="s">
        <v>763</v>
      </c>
      <c r="AJ146" s="969">
        <v>74</v>
      </c>
      <c r="AK146" s="969">
        <f>(2*AJ146)+(2*71)+(2*45)</f>
        <v>380</v>
      </c>
      <c r="AL146" s="673">
        <f>S146-AK146</f>
        <v>-44</v>
      </c>
      <c r="AM146" s="623">
        <v>31</v>
      </c>
      <c r="AN146" s="273">
        <f>(373)+(23)+AM146</f>
        <v>427</v>
      </c>
      <c r="AO146" s="274">
        <f>Z146-AN146</f>
        <v>-248</v>
      </c>
      <c r="AP146" s="1118"/>
      <c r="AQ146" s="349" t="s">
        <v>142</v>
      </c>
      <c r="AR146" s="276">
        <f>H146</f>
        <v>94.3</v>
      </c>
      <c r="AS146" s="183">
        <f>Z146</f>
        <v>179</v>
      </c>
      <c r="AT146" s="183">
        <f>AN146</f>
        <v>427</v>
      </c>
      <c r="AU146" s="733">
        <f t="shared" ref="AU146:AU150" si="312">S146-G146</f>
        <v>-96.399999999999977</v>
      </c>
      <c r="AV146" s="460">
        <f>S146-AK146</f>
        <v>-44</v>
      </c>
      <c r="BE146" s="1626">
        <f>B146</f>
        <v>26</v>
      </c>
      <c r="BF146" s="299"/>
      <c r="BG146" s="299">
        <v>1</v>
      </c>
      <c r="BH146" s="299"/>
      <c r="BI146" s="299"/>
      <c r="BJ146" s="299"/>
      <c r="BK146" s="299"/>
      <c r="BL146" s="299"/>
      <c r="BM146" s="299"/>
      <c r="BN146" s="299"/>
      <c r="BO146" s="299"/>
      <c r="BP146" s="299"/>
      <c r="BQ146" s="299"/>
      <c r="BR146" s="299"/>
      <c r="BS146" s="299"/>
      <c r="BT146" s="299"/>
    </row>
    <row r="147" spans="1:72" s="298" customFormat="1">
      <c r="A147" s="896">
        <f>A146+1</f>
        <v>53</v>
      </c>
      <c r="B147" s="878">
        <f>B146+1</f>
        <v>27</v>
      </c>
      <c r="C147" s="342" t="s">
        <v>702</v>
      </c>
      <c r="D147" s="607">
        <v>184</v>
      </c>
      <c r="E147" s="862">
        <f>(2*D147)</f>
        <v>368</v>
      </c>
      <c r="F147" s="862">
        <f>(2*166)</f>
        <v>332</v>
      </c>
      <c r="G147" s="656">
        <f>F147*1.15</f>
        <v>381.79999999999995</v>
      </c>
      <c r="H147" s="274">
        <f>E147*0.23</f>
        <v>84.64</v>
      </c>
      <c r="I147" s="273">
        <f>0.5*(H147*1.1)</f>
        <v>46.552000000000007</v>
      </c>
      <c r="J147" s="862" t="s">
        <v>12</v>
      </c>
      <c r="K147" s="862">
        <f>246-144</f>
        <v>102</v>
      </c>
      <c r="L147" s="862" t="s">
        <v>12</v>
      </c>
      <c r="M147" s="862" t="s">
        <v>12</v>
      </c>
      <c r="N147" s="862" t="s">
        <v>12</v>
      </c>
      <c r="O147" s="862" t="s">
        <v>12</v>
      </c>
      <c r="P147" s="862" t="s">
        <v>12</v>
      </c>
      <c r="Q147" s="862">
        <f>SUM(J147:P147)</f>
        <v>102</v>
      </c>
      <c r="R147" s="402">
        <f>2*Q147</f>
        <v>204</v>
      </c>
      <c r="S147" s="690">
        <f>R147+(2*71)</f>
        <v>346</v>
      </c>
      <c r="T147" s="624" t="s">
        <v>12</v>
      </c>
      <c r="U147" s="624">
        <v>71</v>
      </c>
      <c r="V147" s="624" t="s">
        <v>12</v>
      </c>
      <c r="W147" s="624" t="s">
        <v>12</v>
      </c>
      <c r="X147" s="624">
        <f>SUM(T147:W147)</f>
        <v>71</v>
      </c>
      <c r="Y147" s="528">
        <f>2*X147</f>
        <v>142</v>
      </c>
      <c r="Z147" s="531">
        <f>Y147+(23)</f>
        <v>165</v>
      </c>
      <c r="AA147" s="702">
        <f>Z147-H147</f>
        <v>80.36</v>
      </c>
      <c r="AB147" s="700">
        <f>Z147-I147</f>
        <v>118.44799999999999</v>
      </c>
      <c r="AC147" s="607">
        <f>460-232</f>
        <v>228</v>
      </c>
      <c r="AD147" s="624">
        <f>33.89+(0.2095*AC147)</f>
        <v>81.656000000000006</v>
      </c>
      <c r="AE147" s="624">
        <f t="shared" ref="AE147:AE150" si="313">X147-U147+AD147</f>
        <v>81.656000000000006</v>
      </c>
      <c r="AF147" s="281">
        <f>2*AE147</f>
        <v>163.31200000000001</v>
      </c>
      <c r="AG147" s="280">
        <f>AF147+(23)</f>
        <v>186.31200000000001</v>
      </c>
      <c r="AH147" s="702">
        <f>AG147-I147</f>
        <v>139.76</v>
      </c>
      <c r="AI147" s="1263" t="s">
        <v>763</v>
      </c>
      <c r="AJ147" s="969">
        <v>74</v>
      </c>
      <c r="AK147" s="969">
        <f>(2*AJ147)+(2*71)+(2*45)</f>
        <v>380</v>
      </c>
      <c r="AL147" s="673">
        <f>S147-AK147</f>
        <v>-34</v>
      </c>
      <c r="AM147" s="623">
        <f>15+31</f>
        <v>46</v>
      </c>
      <c r="AN147" s="273">
        <f>(373)+(23)+AM147</f>
        <v>442</v>
      </c>
      <c r="AO147" s="274">
        <f>Z147-AN147</f>
        <v>-277</v>
      </c>
      <c r="AP147" s="1118"/>
      <c r="AQ147" s="342" t="s">
        <v>427</v>
      </c>
      <c r="AR147" s="276">
        <f>H147</f>
        <v>84.64</v>
      </c>
      <c r="AS147" s="183">
        <f>Z147</f>
        <v>165</v>
      </c>
      <c r="AT147" s="183">
        <f>AN147</f>
        <v>442</v>
      </c>
      <c r="AU147" s="733">
        <f t="shared" si="312"/>
        <v>-35.799999999999955</v>
      </c>
      <c r="AV147" s="460">
        <f>S147-AK147</f>
        <v>-34</v>
      </c>
      <c r="BB147" s="270"/>
      <c r="BC147" s="316"/>
      <c r="BD147" s="316"/>
      <c r="BE147" s="1626">
        <f t="shared" ref="BE147:BE150" si="314">B147</f>
        <v>27</v>
      </c>
      <c r="BF147" s="317"/>
      <c r="BG147" s="299">
        <v>1</v>
      </c>
      <c r="BH147" s="299"/>
      <c r="BI147" s="299"/>
      <c r="BJ147" s="299"/>
      <c r="BK147" s="299"/>
      <c r="BL147" s="299"/>
      <c r="BM147" s="299"/>
      <c r="BN147" s="299"/>
      <c r="BO147" s="299"/>
      <c r="BP147" s="299"/>
      <c r="BQ147" s="299"/>
      <c r="BR147" s="299"/>
      <c r="BS147" s="299"/>
      <c r="BT147" s="299"/>
    </row>
    <row r="148" spans="1:72" s="298" customFormat="1">
      <c r="A148" s="896">
        <f t="shared" ref="A148:A150" si="315">A147+1</f>
        <v>54</v>
      </c>
      <c r="B148" s="888">
        <f>B139+1</f>
        <v>27</v>
      </c>
      <c r="C148" s="344" t="s">
        <v>1239</v>
      </c>
      <c r="D148" s="607">
        <v>94</v>
      </c>
      <c r="E148" s="862">
        <f>(2*D148)</f>
        <v>188</v>
      </c>
      <c r="F148" s="862">
        <f>(2*144)</f>
        <v>288</v>
      </c>
      <c r="G148" s="656">
        <f>F148*1.15</f>
        <v>331.2</v>
      </c>
      <c r="H148" s="274">
        <f t="shared" ref="H148:H150" si="316">E148*0.23</f>
        <v>43.24</v>
      </c>
      <c r="I148" s="273">
        <f>0.5*(H148*1.1)</f>
        <v>23.782000000000004</v>
      </c>
      <c r="J148" s="862" t="s">
        <v>12</v>
      </c>
      <c r="K148" s="671">
        <f>66</f>
        <v>66</v>
      </c>
      <c r="L148" s="862">
        <v>15</v>
      </c>
      <c r="M148" s="862">
        <f>200-120</f>
        <v>80</v>
      </c>
      <c r="N148" s="862" t="s">
        <v>12</v>
      </c>
      <c r="O148" s="862" t="s">
        <v>12</v>
      </c>
      <c r="P148" s="862" t="s">
        <v>12</v>
      </c>
      <c r="Q148" s="671">
        <f>SUM(J148:P148)</f>
        <v>161</v>
      </c>
      <c r="R148" s="402">
        <f>2*Q148</f>
        <v>322</v>
      </c>
      <c r="S148" s="690">
        <f>R148+(2*71)</f>
        <v>464</v>
      </c>
      <c r="T148" s="624" t="s">
        <v>12</v>
      </c>
      <c r="U148" s="624">
        <v>59</v>
      </c>
      <c r="V148" s="624" t="s">
        <v>12</v>
      </c>
      <c r="W148" s="624" t="s">
        <v>12</v>
      </c>
      <c r="X148" s="624">
        <f>SUM(T148:W148)</f>
        <v>59</v>
      </c>
      <c r="Y148" s="524">
        <f>2*X148</f>
        <v>118</v>
      </c>
      <c r="Z148" s="531">
        <f>Y148+(23)</f>
        <v>141</v>
      </c>
      <c r="AA148" s="624">
        <f>Z148-H148</f>
        <v>97.759999999999991</v>
      </c>
      <c r="AB148" s="624">
        <f>Z148-I148</f>
        <v>117.21799999999999</v>
      </c>
      <c r="AC148" s="607">
        <f>168+42</f>
        <v>210</v>
      </c>
      <c r="AD148" s="624">
        <f t="shared" ref="AD148:AD150" si="317">33.89+(0.2095*AC148)</f>
        <v>77.884999999999991</v>
      </c>
      <c r="AE148" s="624">
        <f t="shared" si="313"/>
        <v>77.884999999999991</v>
      </c>
      <c r="AF148" s="281">
        <f>2*AE148</f>
        <v>155.76999999999998</v>
      </c>
      <c r="AG148" s="280">
        <f>AF148+(23)</f>
        <v>178.76999999999998</v>
      </c>
      <c r="AH148" s="624">
        <f>AG148-I148</f>
        <v>154.98799999999997</v>
      </c>
      <c r="AI148" s="1610" t="s">
        <v>769</v>
      </c>
      <c r="AJ148" s="671">
        <v>300</v>
      </c>
      <c r="AK148" s="656">
        <f t="shared" ref="AK148" si="318">(2*AJ148)+(2*71)+(2*45)</f>
        <v>832</v>
      </c>
      <c r="AL148" s="671">
        <f t="shared" ref="AL148" si="319">S148-AK148</f>
        <v>-368</v>
      </c>
      <c r="AM148" s="707" t="s">
        <v>758</v>
      </c>
      <c r="AN148" s="373">
        <f>308+((23))</f>
        <v>331</v>
      </c>
      <c r="AO148" s="274">
        <f>Z148-AN148</f>
        <v>-190</v>
      </c>
      <c r="AP148" s="1118"/>
      <c r="AQ148" s="344" t="s">
        <v>1238</v>
      </c>
      <c r="AR148" s="276">
        <f>H148</f>
        <v>43.24</v>
      </c>
      <c r="AS148" s="276">
        <f>Z148</f>
        <v>141</v>
      </c>
      <c r="AT148" s="276">
        <f>AN148</f>
        <v>331</v>
      </c>
      <c r="AU148" s="733">
        <f>S148-G148</f>
        <v>132.80000000000001</v>
      </c>
      <c r="AV148" s="733">
        <f>S148-AK148</f>
        <v>-368</v>
      </c>
      <c r="BB148" s="270"/>
      <c r="BC148" s="276"/>
      <c r="BD148" s="276"/>
      <c r="BE148" s="1627">
        <f t="shared" si="314"/>
        <v>27</v>
      </c>
      <c r="BF148" s="317"/>
      <c r="BG148" s="299"/>
      <c r="BH148" s="299"/>
      <c r="BI148" s="299"/>
      <c r="BJ148" s="299"/>
      <c r="BK148" s="299">
        <v>1</v>
      </c>
      <c r="BL148" s="299"/>
      <c r="BM148" s="299"/>
      <c r="BN148" s="299"/>
      <c r="BO148" s="299"/>
      <c r="BP148" s="299"/>
      <c r="BQ148" s="299"/>
      <c r="BR148" s="299"/>
      <c r="BS148" s="299"/>
      <c r="BT148" s="299"/>
    </row>
    <row r="149" spans="1:72" s="180" customFormat="1">
      <c r="A149" s="896">
        <f t="shared" si="315"/>
        <v>55</v>
      </c>
      <c r="B149" s="878">
        <f>B147+1</f>
        <v>28</v>
      </c>
      <c r="C149" s="344" t="s">
        <v>701</v>
      </c>
      <c r="D149" s="607">
        <v>207</v>
      </c>
      <c r="E149" s="862">
        <f>(2*D149)</f>
        <v>414</v>
      </c>
      <c r="F149" s="862">
        <f>(2*176)</f>
        <v>352</v>
      </c>
      <c r="G149" s="656">
        <f>F149*1.15</f>
        <v>404.79999999999995</v>
      </c>
      <c r="H149" s="274">
        <f t="shared" si="316"/>
        <v>95.22</v>
      </c>
      <c r="I149" s="273">
        <f>0.5*(H149*1.1)</f>
        <v>52.371000000000002</v>
      </c>
      <c r="J149" s="656" t="s">
        <v>12</v>
      </c>
      <c r="K149" s="656">
        <f>196-98</f>
        <v>98</v>
      </c>
      <c r="L149" s="656" t="s">
        <v>12</v>
      </c>
      <c r="M149" s="862" t="s">
        <v>12</v>
      </c>
      <c r="N149" s="656" t="s">
        <v>12</v>
      </c>
      <c r="O149" s="1237" t="s">
        <v>12</v>
      </c>
      <c r="P149" s="1237" t="s">
        <v>12</v>
      </c>
      <c r="Q149" s="656">
        <f>SUM(J149:P149)</f>
        <v>98</v>
      </c>
      <c r="R149" s="402">
        <f>2*Q149</f>
        <v>196</v>
      </c>
      <c r="S149" s="690">
        <f>R149+(2*71)</f>
        <v>338</v>
      </c>
      <c r="T149" s="624" t="s">
        <v>12</v>
      </c>
      <c r="U149" s="624">
        <v>79</v>
      </c>
      <c r="V149" s="624" t="s">
        <v>12</v>
      </c>
      <c r="W149" s="624" t="s">
        <v>12</v>
      </c>
      <c r="X149" s="624">
        <f>SUM(T149:W149)</f>
        <v>79</v>
      </c>
      <c r="Y149" s="524">
        <f>2*X149</f>
        <v>158</v>
      </c>
      <c r="Z149" s="531">
        <f>Y149+(23)</f>
        <v>181</v>
      </c>
      <c r="AA149" s="624">
        <f>Z149-H149</f>
        <v>85.78</v>
      </c>
      <c r="AB149" s="653">
        <f>Z149-I149</f>
        <v>128.62899999999999</v>
      </c>
      <c r="AC149" s="607">
        <f>(294-33)</f>
        <v>261</v>
      </c>
      <c r="AD149" s="624">
        <f t="shared" si="317"/>
        <v>88.569500000000005</v>
      </c>
      <c r="AE149" s="624">
        <f t="shared" si="313"/>
        <v>88.569500000000005</v>
      </c>
      <c r="AF149" s="281">
        <f>2*AE149</f>
        <v>177.13900000000001</v>
      </c>
      <c r="AG149" s="280">
        <f>AF149+(23)</f>
        <v>200.13900000000001</v>
      </c>
      <c r="AH149" s="624">
        <f>AG149-I149</f>
        <v>147.768</v>
      </c>
      <c r="AI149" s="1263" t="s">
        <v>763</v>
      </c>
      <c r="AJ149" s="969">
        <v>74</v>
      </c>
      <c r="AK149" s="969">
        <f>(2*AJ149)+(2*71)+(2*45)</f>
        <v>380</v>
      </c>
      <c r="AL149" s="673">
        <f>S149-AK149</f>
        <v>-42</v>
      </c>
      <c r="AM149" s="623">
        <v>15</v>
      </c>
      <c r="AN149" s="273">
        <f>(373)+(23)+AM149</f>
        <v>411</v>
      </c>
      <c r="AO149" s="274">
        <f>Z149-AN149</f>
        <v>-230</v>
      </c>
      <c r="AP149" s="1118"/>
      <c r="AQ149" s="344" t="s">
        <v>143</v>
      </c>
      <c r="AR149" s="276">
        <f>H149</f>
        <v>95.22</v>
      </c>
      <c r="AS149" s="183">
        <f>Z149</f>
        <v>181</v>
      </c>
      <c r="AT149" s="183">
        <f>AN149</f>
        <v>411</v>
      </c>
      <c r="AU149" s="733">
        <f t="shared" si="312"/>
        <v>-66.799999999999955</v>
      </c>
      <c r="AV149" s="460">
        <f>S149-AK149</f>
        <v>-42</v>
      </c>
      <c r="BB149" s="275"/>
      <c r="BC149" s="277"/>
      <c r="BD149" s="277"/>
      <c r="BE149" s="1626">
        <f t="shared" si="314"/>
        <v>28</v>
      </c>
      <c r="BF149" s="278"/>
      <c r="BG149" s="1630">
        <v>1</v>
      </c>
      <c r="BH149" s="1630"/>
      <c r="BI149" s="1630"/>
      <c r="BJ149" s="1630"/>
      <c r="BK149" s="1630"/>
      <c r="BL149" s="1630"/>
      <c r="BM149" s="1630"/>
      <c r="BN149" s="1630"/>
      <c r="BO149" s="1630"/>
      <c r="BP149" s="1630"/>
      <c r="BQ149" s="1630"/>
      <c r="BR149" s="1630"/>
      <c r="BS149" s="1630"/>
      <c r="BT149" s="1630"/>
    </row>
    <row r="150" spans="1:72" s="180" customFormat="1">
      <c r="A150" s="896">
        <f t="shared" si="315"/>
        <v>56</v>
      </c>
      <c r="B150" s="878">
        <f>B149+1</f>
        <v>29</v>
      </c>
      <c r="C150" s="344" t="s">
        <v>181</v>
      </c>
      <c r="D150" s="607">
        <v>275</v>
      </c>
      <c r="E150" s="862">
        <f>(2*D150)</f>
        <v>550</v>
      </c>
      <c r="F150" s="862">
        <f>(2*248)</f>
        <v>496</v>
      </c>
      <c r="G150" s="656">
        <f>F150*1.15</f>
        <v>570.4</v>
      </c>
      <c r="H150" s="274">
        <f t="shared" si="316"/>
        <v>126.5</v>
      </c>
      <c r="I150" s="273">
        <f>0.5*(H150*1.1)</f>
        <v>69.575000000000003</v>
      </c>
      <c r="J150" s="671" t="s">
        <v>13</v>
      </c>
      <c r="K150" s="671">
        <f>143-19</f>
        <v>124</v>
      </c>
      <c r="L150" s="862" t="s">
        <v>12</v>
      </c>
      <c r="M150" s="862" t="s">
        <v>12</v>
      </c>
      <c r="N150" s="671" t="s">
        <v>13</v>
      </c>
      <c r="O150" s="671" t="s">
        <v>13</v>
      </c>
      <c r="P150" s="671" t="s">
        <v>13</v>
      </c>
      <c r="Q150" s="671">
        <f>SUM(J150:P150)</f>
        <v>124</v>
      </c>
      <c r="R150" s="402">
        <f>2*Q150</f>
        <v>248</v>
      </c>
      <c r="S150" s="690">
        <f>R150+(2*71)</f>
        <v>390</v>
      </c>
      <c r="T150" s="639" t="s">
        <v>136</v>
      </c>
      <c r="U150" s="624">
        <v>93</v>
      </c>
      <c r="V150" s="639" t="s">
        <v>136</v>
      </c>
      <c r="W150" s="639" t="s">
        <v>136</v>
      </c>
      <c r="X150" s="624">
        <f>SUM(U150:W150)</f>
        <v>93</v>
      </c>
      <c r="Y150" s="524">
        <f>2*X150</f>
        <v>186</v>
      </c>
      <c r="Z150" s="531">
        <f>Y150+(23)</f>
        <v>209</v>
      </c>
      <c r="AA150" s="624">
        <f>Z150-H150</f>
        <v>82.5</v>
      </c>
      <c r="AB150" s="624">
        <f>Z150-I150</f>
        <v>139.42500000000001</v>
      </c>
      <c r="AC150" s="607">
        <f>306-15</f>
        <v>291</v>
      </c>
      <c r="AD150" s="624">
        <f t="shared" si="317"/>
        <v>94.854500000000002</v>
      </c>
      <c r="AE150" s="624">
        <f t="shared" si="313"/>
        <v>94.854500000000002</v>
      </c>
      <c r="AF150" s="281">
        <f>2*AE150</f>
        <v>189.709</v>
      </c>
      <c r="AG150" s="280">
        <f>AF150+(23)</f>
        <v>212.709</v>
      </c>
      <c r="AH150" s="624">
        <f>AG150-I150</f>
        <v>143.13400000000001</v>
      </c>
      <c r="AI150" s="1263" t="s">
        <v>936</v>
      </c>
      <c r="AJ150" s="673">
        <v>80</v>
      </c>
      <c r="AK150" s="969">
        <f>(2*AJ150)+(2*71)+(2*45)</f>
        <v>392</v>
      </c>
      <c r="AL150" s="673">
        <f>S150-AK150</f>
        <v>-2</v>
      </c>
      <c r="AM150" s="623">
        <v>15</v>
      </c>
      <c r="AN150" s="273">
        <f>291+(23)+AM150</f>
        <v>329</v>
      </c>
      <c r="AO150" s="274">
        <f>Z150-AN150</f>
        <v>-120</v>
      </c>
      <c r="AP150" s="1118"/>
      <c r="AQ150" s="344" t="s">
        <v>144</v>
      </c>
      <c r="AR150" s="276">
        <f>H150</f>
        <v>126.5</v>
      </c>
      <c r="AS150" s="183">
        <f>Z150</f>
        <v>209</v>
      </c>
      <c r="AT150" s="183">
        <f>AN150</f>
        <v>329</v>
      </c>
      <c r="AU150" s="733">
        <f t="shared" si="312"/>
        <v>-180.39999999999998</v>
      </c>
      <c r="AV150" s="460">
        <f>S150-AK150</f>
        <v>-2</v>
      </c>
      <c r="BE150" s="1626">
        <f t="shared" si="314"/>
        <v>29</v>
      </c>
      <c r="BF150" s="1630"/>
      <c r="BG150" s="1630"/>
      <c r="BH150" s="1630"/>
      <c r="BI150" s="1630"/>
      <c r="BJ150" s="1630">
        <v>1</v>
      </c>
      <c r="BK150" s="1630"/>
      <c r="BL150" s="1630"/>
      <c r="BM150" s="1630"/>
      <c r="BN150" s="1630"/>
      <c r="BO150" s="1630"/>
      <c r="BP150" s="1630"/>
      <c r="BQ150" s="1630"/>
      <c r="BR150" s="1630"/>
      <c r="BS150" s="1630"/>
      <c r="BT150" s="1630"/>
    </row>
    <row r="151" spans="1:72" ht="317" customHeight="1">
      <c r="B151" s="259"/>
      <c r="C151" s="1288" t="s">
        <v>931</v>
      </c>
      <c r="D151" s="1819" t="s">
        <v>932</v>
      </c>
      <c r="E151" s="1707"/>
      <c r="F151" s="1294" t="s">
        <v>903</v>
      </c>
      <c r="G151" s="1296" t="s">
        <v>904</v>
      </c>
      <c r="H151" s="1238" t="s">
        <v>345</v>
      </c>
      <c r="I151" s="1003"/>
      <c r="J151" s="1358" t="s">
        <v>139</v>
      </c>
      <c r="K151" s="1297" t="s">
        <v>426</v>
      </c>
      <c r="L151" s="1297" t="s">
        <v>933</v>
      </c>
      <c r="M151" s="1297" t="s">
        <v>934</v>
      </c>
      <c r="N151" s="601"/>
      <c r="O151" s="1371"/>
      <c r="P151" s="1371"/>
      <c r="Q151" s="1371"/>
      <c r="R151" s="425"/>
      <c r="S151" s="1338" t="s">
        <v>983</v>
      </c>
      <c r="T151" s="629"/>
      <c r="U151" s="1252" t="s">
        <v>1237</v>
      </c>
      <c r="V151" s="1365" t="s">
        <v>429</v>
      </c>
      <c r="W151" s="206"/>
      <c r="X151" s="991"/>
      <c r="Y151" s="117"/>
      <c r="Z151" s="1350" t="s">
        <v>976</v>
      </c>
      <c r="AA151" s="70"/>
      <c r="AB151" s="1260" t="s">
        <v>349</v>
      </c>
      <c r="AC151" s="1293" t="s">
        <v>935</v>
      </c>
      <c r="AD151" s="1260" t="s">
        <v>350</v>
      </c>
      <c r="AE151" s="991"/>
      <c r="AF151" s="117"/>
      <c r="AG151" s="1350" t="s">
        <v>976</v>
      </c>
      <c r="AH151" s="1101"/>
      <c r="AI151" s="1115"/>
      <c r="AJ151" s="1545" t="s">
        <v>1153</v>
      </c>
      <c r="AK151" s="399"/>
      <c r="AL151" s="1596" t="s">
        <v>1199</v>
      </c>
      <c r="AM151" s="47"/>
      <c r="AN151" s="1291" t="s">
        <v>885</v>
      </c>
      <c r="AO151" s="62"/>
      <c r="AQ151" s="796"/>
      <c r="AR151" s="796"/>
      <c r="AS151" s="796"/>
      <c r="AT151" s="796"/>
      <c r="AU151" s="796"/>
      <c r="AV151" s="796"/>
    </row>
    <row r="152" spans="1:72" s="14" customFormat="1">
      <c r="A152" s="927"/>
      <c r="B152" s="143"/>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99"/>
      <c r="AC152" s="68"/>
      <c r="AD152" s="68"/>
      <c r="AE152" s="68"/>
      <c r="AF152" s="68"/>
      <c r="AG152" s="68"/>
      <c r="AH152" s="68"/>
      <c r="AI152" s="68"/>
      <c r="AJ152" s="68"/>
      <c r="AK152" s="68"/>
      <c r="AL152" s="68"/>
      <c r="AM152" s="68"/>
      <c r="AN152" s="68"/>
      <c r="AO152" s="68"/>
      <c r="AP152" s="1116"/>
      <c r="AU152" s="96"/>
      <c r="AV152" s="509" t="s">
        <v>105</v>
      </c>
      <c r="BF152" s="199"/>
      <c r="BG152" s="199"/>
      <c r="BH152" s="199"/>
      <c r="BI152" s="199"/>
      <c r="BJ152" s="199"/>
      <c r="BK152" s="199"/>
      <c r="BL152" s="199"/>
      <c r="BM152" s="199"/>
      <c r="BN152" s="199"/>
      <c r="BO152" s="199"/>
      <c r="BP152" s="199"/>
      <c r="BQ152" s="199"/>
      <c r="BR152" s="199"/>
      <c r="BS152" s="199"/>
      <c r="BT152" s="199"/>
    </row>
    <row r="153" spans="1:72" s="1381" customFormat="1">
      <c r="A153" s="927"/>
      <c r="B153" s="898"/>
      <c r="C153" s="1814"/>
      <c r="D153" s="1815"/>
      <c r="E153" s="1815"/>
      <c r="F153" s="1815"/>
      <c r="G153" s="1815"/>
      <c r="H153" s="1815"/>
      <c r="I153" s="1815"/>
      <c r="J153" s="1815"/>
      <c r="K153" s="1815"/>
      <c r="L153" s="1815"/>
      <c r="M153" s="1815"/>
      <c r="N153" s="1815"/>
      <c r="O153" s="1815"/>
      <c r="P153" s="1815"/>
      <c r="Q153" s="1815"/>
      <c r="R153" s="1815"/>
      <c r="S153" s="1815"/>
      <c r="T153" s="1816"/>
      <c r="U153" s="1816"/>
      <c r="V153" s="1816"/>
      <c r="W153" s="1816"/>
      <c r="X153" s="1816"/>
      <c r="Y153" s="1816"/>
      <c r="Z153" s="1816"/>
      <c r="AA153" s="1816"/>
      <c r="AB153" s="1816"/>
      <c r="AC153" s="1816"/>
      <c r="AD153" s="1816"/>
      <c r="AE153" s="1816"/>
      <c r="AF153" s="1816"/>
      <c r="AG153" s="1816"/>
      <c r="AH153" s="1816"/>
      <c r="AI153" s="1816"/>
      <c r="AJ153" s="1816"/>
      <c r="AK153" s="901"/>
      <c r="AL153" s="1378"/>
      <c r="AM153" s="1378"/>
      <c r="AN153" s="902"/>
      <c r="AO153" s="902"/>
      <c r="AP153" s="1116"/>
      <c r="AQ153" s="1379"/>
      <c r="AR153" s="218"/>
      <c r="AS153" s="1380"/>
      <c r="AT153" s="1380"/>
      <c r="AU153" s="96"/>
      <c r="BF153" s="927"/>
      <c r="BG153" s="927"/>
      <c r="BH153" s="927"/>
      <c r="BI153" s="927"/>
      <c r="BJ153" s="927"/>
      <c r="BK153" s="927"/>
      <c r="BL153" s="927"/>
      <c r="BM153" s="927"/>
      <c r="BN153" s="927"/>
      <c r="BO153" s="927"/>
      <c r="BP153" s="927"/>
      <c r="BQ153" s="927"/>
      <c r="BR153" s="927"/>
      <c r="BS153" s="927"/>
      <c r="BT153" s="927"/>
    </row>
    <row r="154" spans="1:72" s="1229" customFormat="1" ht="33" customHeight="1">
      <c r="A154" s="1329"/>
      <c r="B154" s="1565" t="s">
        <v>618</v>
      </c>
      <c r="C154" s="1559" t="s">
        <v>35</v>
      </c>
      <c r="D154" s="1820" t="s">
        <v>2</v>
      </c>
      <c r="E154" s="1821"/>
      <c r="F154" s="1821"/>
      <c r="G154" s="1821"/>
      <c r="H154" s="1821"/>
      <c r="I154" s="1822"/>
      <c r="J154" s="1788" t="s">
        <v>645</v>
      </c>
      <c r="K154" s="1789"/>
      <c r="L154" s="1790"/>
      <c r="M154" s="1790"/>
      <c r="N154" s="1790"/>
      <c r="O154" s="1790"/>
      <c r="P154" s="1791"/>
      <c r="Q154" s="1790"/>
      <c r="R154" s="1684" t="s">
        <v>882</v>
      </c>
      <c r="S154" s="1779"/>
      <c r="T154" s="1786" t="s">
        <v>664</v>
      </c>
      <c r="U154" s="1787"/>
      <c r="V154" s="1787"/>
      <c r="W154" s="1787"/>
      <c r="X154" s="1787"/>
      <c r="Y154" s="1811" t="s">
        <v>648</v>
      </c>
      <c r="Z154" s="1812"/>
      <c r="AA154" s="1276"/>
      <c r="AB154" s="1276"/>
      <c r="AC154" s="1784" t="s">
        <v>162</v>
      </c>
      <c r="AD154" s="1785"/>
      <c r="AE154" s="1785"/>
      <c r="AF154" s="1782" t="s">
        <v>883</v>
      </c>
      <c r="AG154" s="1783"/>
      <c r="AH154" s="1276"/>
      <c r="AI154" s="1277"/>
      <c r="AJ154" s="1385" t="s">
        <v>167</v>
      </c>
      <c r="AK154" s="1536"/>
      <c r="AL154" s="1536"/>
      <c r="AM154" s="1536"/>
      <c r="AN154" s="1537"/>
      <c r="AO154" s="1278"/>
      <c r="AP154" s="1386"/>
      <c r="AQ154" s="1387"/>
      <c r="AV154" s="1388"/>
      <c r="AW154" s="1368"/>
      <c r="BE154" s="1389"/>
      <c r="BF154" s="1368"/>
      <c r="BG154" s="1368"/>
      <c r="BH154" s="1329"/>
      <c r="BI154" s="1329"/>
      <c r="BJ154" s="1329"/>
      <c r="BK154" s="1329"/>
      <c r="BL154" s="1329"/>
      <c r="BM154" s="1329"/>
      <c r="BN154" s="1329"/>
      <c r="BO154" s="1329"/>
      <c r="BP154" s="1329"/>
      <c r="BQ154" s="1329"/>
      <c r="BR154" s="1329"/>
      <c r="BS154" s="1329"/>
      <c r="BT154" s="1329"/>
    </row>
    <row r="155" spans="1:72">
      <c r="C155" s="505"/>
      <c r="D155" s="109">
        <v>1</v>
      </c>
      <c r="E155" s="50">
        <f t="shared" ref="E155:AL155" si="320">D155+1</f>
        <v>2</v>
      </c>
      <c r="F155" s="50">
        <f t="shared" si="320"/>
        <v>3</v>
      </c>
      <c r="G155" s="50">
        <f>F155+1</f>
        <v>4</v>
      </c>
      <c r="H155" s="50">
        <f>G155+1</f>
        <v>5</v>
      </c>
      <c r="I155" s="110">
        <f t="shared" si="320"/>
        <v>6</v>
      </c>
      <c r="J155" s="109">
        <f t="shared" si="320"/>
        <v>7</v>
      </c>
      <c r="K155" s="50">
        <f t="shared" si="320"/>
        <v>8</v>
      </c>
      <c r="L155" s="50">
        <f t="shared" si="320"/>
        <v>9</v>
      </c>
      <c r="M155" s="50">
        <f t="shared" si="320"/>
        <v>10</v>
      </c>
      <c r="N155" s="50">
        <f t="shared" si="320"/>
        <v>11</v>
      </c>
      <c r="O155" s="50">
        <f t="shared" si="320"/>
        <v>12</v>
      </c>
      <c r="P155" s="50">
        <f t="shared" si="320"/>
        <v>13</v>
      </c>
      <c r="Q155" s="50">
        <f t="shared" si="320"/>
        <v>14</v>
      </c>
      <c r="R155" s="1005">
        <f>Q155+1</f>
        <v>15</v>
      </c>
      <c r="S155" s="1007">
        <f t="shared" si="320"/>
        <v>16</v>
      </c>
      <c r="T155" s="109">
        <f t="shared" si="320"/>
        <v>17</v>
      </c>
      <c r="U155" s="50">
        <f t="shared" si="320"/>
        <v>18</v>
      </c>
      <c r="V155" s="50">
        <f t="shared" si="320"/>
        <v>19</v>
      </c>
      <c r="W155" s="50">
        <f t="shared" si="320"/>
        <v>20</v>
      </c>
      <c r="X155" s="50">
        <f>W155+1</f>
        <v>21</v>
      </c>
      <c r="Y155" s="137">
        <f t="shared" si="320"/>
        <v>22</v>
      </c>
      <c r="Z155" s="1007">
        <f t="shared" si="320"/>
        <v>23</v>
      </c>
      <c r="AA155" s="109">
        <f t="shared" si="320"/>
        <v>24</v>
      </c>
      <c r="AB155" s="110">
        <f t="shared" si="320"/>
        <v>25</v>
      </c>
      <c r="AC155" s="109">
        <f t="shared" si="320"/>
        <v>26</v>
      </c>
      <c r="AD155" s="50">
        <f t="shared" si="320"/>
        <v>27</v>
      </c>
      <c r="AE155" s="50">
        <f t="shared" si="320"/>
        <v>28</v>
      </c>
      <c r="AF155" s="1005">
        <f>AE155+1</f>
        <v>29</v>
      </c>
      <c r="AG155" s="1007">
        <f t="shared" si="320"/>
        <v>30</v>
      </c>
      <c r="AH155" s="50">
        <f t="shared" si="320"/>
        <v>31</v>
      </c>
      <c r="AI155" s="109">
        <f>AH155+1</f>
        <v>32</v>
      </c>
      <c r="AJ155" s="50">
        <f>AI155+1</f>
        <v>33</v>
      </c>
      <c r="AK155" s="50">
        <f t="shared" si="320"/>
        <v>34</v>
      </c>
      <c r="AL155" s="50">
        <f t="shared" si="320"/>
        <v>35</v>
      </c>
      <c r="AM155" s="50">
        <f>AL155+1</f>
        <v>36</v>
      </c>
      <c r="AN155" s="110">
        <f>AM155+1</f>
        <v>37</v>
      </c>
      <c r="AO155" s="50">
        <f>AN155+1</f>
        <v>38</v>
      </c>
      <c r="AQ155" s="68"/>
      <c r="AR155" s="69"/>
      <c r="AU155"/>
      <c r="AV155" s="104"/>
      <c r="AW155" s="123"/>
      <c r="BE155" s="122"/>
      <c r="BF155" s="123"/>
      <c r="BG155" s="123"/>
    </row>
    <row r="156" spans="1:72" ht="122" customHeight="1">
      <c r="B156" s="441"/>
      <c r="C156" s="1384" t="s">
        <v>930</v>
      </c>
      <c r="D156" s="1234" t="s">
        <v>321</v>
      </c>
      <c r="E156" s="1235" t="s">
        <v>310</v>
      </c>
      <c r="F156" s="1235" t="s">
        <v>311</v>
      </c>
      <c r="G156" s="1240" t="s">
        <v>234</v>
      </c>
      <c r="H156" s="805" t="s">
        <v>247</v>
      </c>
      <c r="I156" s="1002" t="s">
        <v>604</v>
      </c>
      <c r="J156" s="1266" t="s">
        <v>631</v>
      </c>
      <c r="K156" s="1312" t="s">
        <v>937</v>
      </c>
      <c r="L156" s="1312" t="s">
        <v>940</v>
      </c>
      <c r="M156" s="1312" t="s">
        <v>941</v>
      </c>
      <c r="N156" s="1312" t="s">
        <v>942</v>
      </c>
      <c r="O156" s="1312" t="s">
        <v>327</v>
      </c>
      <c r="P156" s="1312" t="s">
        <v>328</v>
      </c>
      <c r="Q156" s="1348" t="s">
        <v>415</v>
      </c>
      <c r="R156" s="1432" t="s">
        <v>257</v>
      </c>
      <c r="S156" s="400" t="s">
        <v>363</v>
      </c>
      <c r="T156" s="1013" t="s">
        <v>740</v>
      </c>
      <c r="U156" s="1010" t="s">
        <v>330</v>
      </c>
      <c r="V156" s="1010" t="s">
        <v>331</v>
      </c>
      <c r="W156" s="1010" t="s">
        <v>261</v>
      </c>
      <c r="X156" s="872" t="s">
        <v>262</v>
      </c>
      <c r="Y156" s="523" t="s">
        <v>995</v>
      </c>
      <c r="Z156" s="599" t="s">
        <v>996</v>
      </c>
      <c r="AA156" s="1010" t="s">
        <v>265</v>
      </c>
      <c r="AB156" s="1010" t="s">
        <v>266</v>
      </c>
      <c r="AC156" s="1239" t="s">
        <v>627</v>
      </c>
      <c r="AD156" s="1010" t="s">
        <v>268</v>
      </c>
      <c r="AE156" s="1010" t="s">
        <v>269</v>
      </c>
      <c r="AF156" s="605" t="s">
        <v>350</v>
      </c>
      <c r="AG156" s="600" t="s">
        <v>270</v>
      </c>
      <c r="AH156" s="1010" t="s">
        <v>271</v>
      </c>
      <c r="AI156" s="1266" t="s">
        <v>812</v>
      </c>
      <c r="AJ156" s="1267" t="s">
        <v>809</v>
      </c>
      <c r="AK156" s="1546" t="s">
        <v>14</v>
      </c>
      <c r="AL156" s="1269" t="s">
        <v>1</v>
      </c>
      <c r="AM156" s="1010" t="s">
        <v>810</v>
      </c>
      <c r="AN156" s="1002" t="s">
        <v>746</v>
      </c>
      <c r="AO156" s="239" t="s">
        <v>272</v>
      </c>
      <c r="AQ156" s="1390" t="s">
        <v>308</v>
      </c>
      <c r="AR156" s="805" t="s">
        <v>357</v>
      </c>
      <c r="AS156" s="988" t="s">
        <v>273</v>
      </c>
      <c r="AT156" s="806" t="s">
        <v>567</v>
      </c>
      <c r="AU156" s="1008" t="s">
        <v>811</v>
      </c>
      <c r="AV156" s="1008" t="s">
        <v>745</v>
      </c>
      <c r="AW156" s="243"/>
      <c r="AX156" s="191"/>
      <c r="AY156" s="139"/>
      <c r="AZ156" s="48"/>
      <c r="BA156" s="106"/>
      <c r="BB156" s="151"/>
      <c r="BE156" s="1149" t="s">
        <v>822</v>
      </c>
      <c r="BF156" s="1867"/>
      <c r="BG156" s="1867"/>
      <c r="BH156" s="1867"/>
      <c r="BI156" s="1656"/>
      <c r="BS156" s="2" t="s">
        <v>105</v>
      </c>
    </row>
    <row r="157" spans="1:72" s="14" customFormat="1" ht="15" customHeight="1">
      <c r="A157" s="936">
        <f>A150+1</f>
        <v>57</v>
      </c>
      <c r="B157" s="1611">
        <f>+B150+1</f>
        <v>30</v>
      </c>
      <c r="C157" s="67" t="s">
        <v>620</v>
      </c>
      <c r="D157" s="1346">
        <v>132</v>
      </c>
      <c r="E157" s="1347">
        <f>2*D157</f>
        <v>264</v>
      </c>
      <c r="F157" s="1347">
        <f>2*172</f>
        <v>344</v>
      </c>
      <c r="G157" s="1354">
        <f>F157*1.15</f>
        <v>395.59999999999997</v>
      </c>
      <c r="H157" s="274">
        <f>E157*0.23</f>
        <v>60.720000000000006</v>
      </c>
      <c r="I157" s="450">
        <f>0.5*(H157*1.1)</f>
        <v>33.396000000000008</v>
      </c>
      <c r="J157" s="673">
        <v>0</v>
      </c>
      <c r="K157" s="673">
        <v>0</v>
      </c>
      <c r="L157" s="617">
        <v>0</v>
      </c>
      <c r="M157" s="617">
        <v>66</v>
      </c>
      <c r="N157" s="672">
        <v>15</v>
      </c>
      <c r="O157" s="672">
        <f>41-19</f>
        <v>22</v>
      </c>
      <c r="P157" s="673" t="s">
        <v>13</v>
      </c>
      <c r="Q157" s="622">
        <f>SUM(J157:P157)</f>
        <v>103</v>
      </c>
      <c r="R157" s="1433">
        <f>2*Q157</f>
        <v>206</v>
      </c>
      <c r="S157" s="1434">
        <f>R157+(2*71)</f>
        <v>348</v>
      </c>
      <c r="T157" s="704">
        <v>0</v>
      </c>
      <c r="U157" s="708">
        <v>62</v>
      </c>
      <c r="V157" s="624" t="s">
        <v>12</v>
      </c>
      <c r="W157" s="624" t="s">
        <v>12</v>
      </c>
      <c r="X157" s="708">
        <f>SUM(T157:W157)</f>
        <v>62</v>
      </c>
      <c r="Y157" s="529">
        <f>2*X157</f>
        <v>124</v>
      </c>
      <c r="Z157" s="525">
        <f>Y157+(23)</f>
        <v>147</v>
      </c>
      <c r="AA157" s="709">
        <f>Z157-H157</f>
        <v>86.28</v>
      </c>
      <c r="AB157" s="653">
        <f>Z157-I157</f>
        <v>113.60399999999998</v>
      </c>
      <c r="AC157" s="609">
        <v>243</v>
      </c>
      <c r="AD157" s="624">
        <f>(33.89)+(AC157*0.2095)</f>
        <v>84.79849999999999</v>
      </c>
      <c r="AE157" s="624">
        <f>X157-U157+AD157</f>
        <v>84.79849999999999</v>
      </c>
      <c r="AF157" s="734">
        <f>2*AE157</f>
        <v>169.59699999999998</v>
      </c>
      <c r="AG157" s="735">
        <f>AF157+(23)</f>
        <v>192.59699999999998</v>
      </c>
      <c r="AH157" s="655">
        <f>AG157-I157</f>
        <v>159.20099999999996</v>
      </c>
      <c r="AI157" s="1263" t="s">
        <v>766</v>
      </c>
      <c r="AJ157" s="617">
        <v>60</v>
      </c>
      <c r="AK157" s="969">
        <f>(2*AJ157)+(2*71)+(2*45)</f>
        <v>352</v>
      </c>
      <c r="AL157" s="969">
        <f>S157-AK157</f>
        <v>-4</v>
      </c>
      <c r="AM157" s="623">
        <f>15+15</f>
        <v>30</v>
      </c>
      <c r="AN157" s="451">
        <f>523+(23)+AM157</f>
        <v>576</v>
      </c>
      <c r="AO157" s="308">
        <f>Z157-AN157</f>
        <v>-429</v>
      </c>
      <c r="AP157" s="1118"/>
      <c r="AQ157" s="67" t="s">
        <v>630</v>
      </c>
      <c r="AR157" s="276">
        <f>H157</f>
        <v>60.720000000000006</v>
      </c>
      <c r="AS157" s="183">
        <f>Z157</f>
        <v>147</v>
      </c>
      <c r="AT157" s="183">
        <f>AN157</f>
        <v>576</v>
      </c>
      <c r="AU157" s="733">
        <f t="shared" ref="AU157:AU161" si="321">S157-G157</f>
        <v>-47.599999999999966</v>
      </c>
      <c r="AV157" s="460">
        <f>S157-AK157</f>
        <v>-4</v>
      </c>
      <c r="BE157" s="1622">
        <f>B157</f>
        <v>30</v>
      </c>
      <c r="BF157" s="1657"/>
      <c r="BG157" s="199"/>
      <c r="BH157" s="199"/>
      <c r="BI157" s="199"/>
      <c r="BJ157" s="1630">
        <v>1</v>
      </c>
      <c r="BK157" s="199"/>
      <c r="BL157" s="199"/>
      <c r="BM157" s="199"/>
      <c r="BN157" s="199"/>
      <c r="BO157" s="199"/>
      <c r="BP157" s="199"/>
      <c r="BQ157" s="199"/>
      <c r="BR157" s="199"/>
      <c r="BS157" s="199"/>
      <c r="BT157" s="199"/>
    </row>
    <row r="158" spans="1:72" s="180" customFormat="1">
      <c r="A158" s="896">
        <f>A157+1</f>
        <v>58</v>
      </c>
      <c r="B158" s="878">
        <f>B157+1</f>
        <v>31</v>
      </c>
      <c r="C158" s="344" t="s">
        <v>182</v>
      </c>
      <c r="D158" s="607">
        <v>248</v>
      </c>
      <c r="E158" s="862">
        <f>(2*D158)</f>
        <v>496</v>
      </c>
      <c r="F158" s="862">
        <f>(2*256)</f>
        <v>512</v>
      </c>
      <c r="G158" s="656">
        <f>F158*1.15</f>
        <v>588.79999999999995</v>
      </c>
      <c r="H158" s="274">
        <f>E158*0.23</f>
        <v>114.08</v>
      </c>
      <c r="I158" s="273">
        <v>71</v>
      </c>
      <c r="J158" s="672">
        <v>0</v>
      </c>
      <c r="K158" s="672">
        <f>323-122</f>
        <v>201</v>
      </c>
      <c r="L158" s="672" t="s">
        <v>154</v>
      </c>
      <c r="M158" s="672" t="s">
        <v>154</v>
      </c>
      <c r="N158" s="672" t="s">
        <v>154</v>
      </c>
      <c r="O158" s="672" t="s">
        <v>154</v>
      </c>
      <c r="P158" s="672" t="s">
        <v>154</v>
      </c>
      <c r="Q158" s="672">
        <f>SUM(J158:P158)</f>
        <v>201</v>
      </c>
      <c r="R158" s="1435">
        <f>2*Q158</f>
        <v>402</v>
      </c>
      <c r="S158" s="1436">
        <f>R158+(2*71)</f>
        <v>544</v>
      </c>
      <c r="T158" s="652">
        <v>0</v>
      </c>
      <c r="U158" s="624">
        <v>88</v>
      </c>
      <c r="V158" s="624" t="s">
        <v>12</v>
      </c>
      <c r="W158" s="624" t="s">
        <v>12</v>
      </c>
      <c r="X158" s="624">
        <f>SUM(T158:W158)</f>
        <v>88</v>
      </c>
      <c r="Y158" s="524">
        <f>2*X158</f>
        <v>176</v>
      </c>
      <c r="Z158" s="525">
        <f>Y158+(23)</f>
        <v>199</v>
      </c>
      <c r="AA158" s="623">
        <f>Z158-H158</f>
        <v>84.92</v>
      </c>
      <c r="AB158" s="653">
        <f>Z158-I158</f>
        <v>128</v>
      </c>
      <c r="AC158" s="607">
        <v>294</v>
      </c>
      <c r="AD158" s="624">
        <f>(33.89)+(AC158*0.2095)</f>
        <v>95.483000000000004</v>
      </c>
      <c r="AE158" s="624">
        <f>X158-U158+AD158</f>
        <v>95.483000000000004</v>
      </c>
      <c r="AF158" s="655">
        <f>2*AE158</f>
        <v>190.96600000000001</v>
      </c>
      <c r="AG158" s="735">
        <f>AF158+(23)</f>
        <v>213.96600000000001</v>
      </c>
      <c r="AH158" s="623">
        <f>AG158-I158</f>
        <v>142.96600000000001</v>
      </c>
      <c r="AI158" s="1263" t="s">
        <v>763</v>
      </c>
      <c r="AJ158" s="969">
        <v>74</v>
      </c>
      <c r="AK158" s="969">
        <f>(2*AJ158)+(2*71)+(2*45)</f>
        <v>380</v>
      </c>
      <c r="AL158" s="673">
        <v>-23</v>
      </c>
      <c r="AM158" s="623">
        <v>15</v>
      </c>
      <c r="AN158" s="273">
        <f>373+(23)+AM158</f>
        <v>411</v>
      </c>
      <c r="AO158" s="274">
        <f>Z158-AN158</f>
        <v>-212</v>
      </c>
      <c r="AP158" s="1118"/>
      <c r="AQ158" s="344" t="s">
        <v>145</v>
      </c>
      <c r="AR158" s="276">
        <f>H158</f>
        <v>114.08</v>
      </c>
      <c r="AS158" s="183">
        <f>Z158</f>
        <v>199</v>
      </c>
      <c r="AT158" s="183">
        <f>AN158</f>
        <v>411</v>
      </c>
      <c r="AU158" s="733">
        <f t="shared" si="321"/>
        <v>-44.799999999999955</v>
      </c>
      <c r="AV158" s="460">
        <f>S158-AK158</f>
        <v>164</v>
      </c>
      <c r="AW158" s="261"/>
      <c r="AX158" s="374"/>
      <c r="BB158" s="275"/>
      <c r="BC158" s="277"/>
      <c r="BD158" s="277"/>
      <c r="BE158" s="1622">
        <f t="shared" ref="BE158:BE161" si="322">B158</f>
        <v>31</v>
      </c>
      <c r="BF158" s="1657"/>
      <c r="BG158" s="1630">
        <v>1</v>
      </c>
      <c r="BH158" s="1630"/>
      <c r="BI158" s="1630"/>
      <c r="BJ158" s="1630"/>
      <c r="BK158" s="1630"/>
      <c r="BL158" s="1630"/>
      <c r="BM158" s="1630"/>
      <c r="BN158" s="1630"/>
      <c r="BO158" s="1630"/>
      <c r="BP158" s="1630"/>
      <c r="BQ158" s="1630"/>
      <c r="BR158" s="1630"/>
      <c r="BS158" s="1630"/>
      <c r="BT158" s="1630"/>
    </row>
    <row r="159" spans="1:72" s="180" customFormat="1">
      <c r="A159" s="897">
        <f t="shared" ref="A159:A161" si="323">A158+1</f>
        <v>59</v>
      </c>
      <c r="B159" s="878">
        <f>B158+1</f>
        <v>32</v>
      </c>
      <c r="C159" s="344" t="s">
        <v>938</v>
      </c>
      <c r="D159" s="607">
        <v>282</v>
      </c>
      <c r="E159" s="739">
        <f>2*D159</f>
        <v>564</v>
      </c>
      <c r="F159" s="739">
        <f>(2*241)</f>
        <v>482</v>
      </c>
      <c r="G159" s="656">
        <f>F159*1.15</f>
        <v>554.29999999999995</v>
      </c>
      <c r="H159" s="274">
        <f t="shared" ref="H159:H161" si="324">E159*0.23</f>
        <v>129.72</v>
      </c>
      <c r="I159" s="273">
        <v>81</v>
      </c>
      <c r="J159" s="1382">
        <v>0</v>
      </c>
      <c r="K159" s="672">
        <v>143</v>
      </c>
      <c r="L159" s="672" t="s">
        <v>154</v>
      </c>
      <c r="M159" s="672" t="s">
        <v>154</v>
      </c>
      <c r="N159" s="672" t="s">
        <v>154</v>
      </c>
      <c r="O159" s="672" t="s">
        <v>154</v>
      </c>
      <c r="P159" s="672" t="s">
        <v>154</v>
      </c>
      <c r="Q159" s="672">
        <f>SUM(J159:P159)</f>
        <v>143</v>
      </c>
      <c r="R159" s="1435">
        <f>2*Q159</f>
        <v>286</v>
      </c>
      <c r="S159" s="1436">
        <f>R159+(2*71)</f>
        <v>428</v>
      </c>
      <c r="T159" s="652">
        <v>0</v>
      </c>
      <c r="U159" s="624">
        <v>93</v>
      </c>
      <c r="V159" s="624" t="s">
        <v>12</v>
      </c>
      <c r="W159" s="624" t="s">
        <v>12</v>
      </c>
      <c r="X159" s="623">
        <f>SUM(T159:W159)</f>
        <v>93</v>
      </c>
      <c r="Y159" s="524">
        <f>2*X159</f>
        <v>186</v>
      </c>
      <c r="Z159" s="525">
        <f>Y159+(23)</f>
        <v>209</v>
      </c>
      <c r="AA159" s="623">
        <f>Z159-H159</f>
        <v>79.28</v>
      </c>
      <c r="AB159" s="653">
        <f>Z159-I159</f>
        <v>128</v>
      </c>
      <c r="AC159" s="607">
        <v>306</v>
      </c>
      <c r="AD159" s="624">
        <f t="shared" ref="AD159:AD161" si="325">(33.89)+(AC159*0.2095)</f>
        <v>97.997</v>
      </c>
      <c r="AE159" s="624">
        <f>X159-U159+AD159</f>
        <v>97.997</v>
      </c>
      <c r="AF159" s="655">
        <f>2*AE159</f>
        <v>195.994</v>
      </c>
      <c r="AG159" s="735">
        <f>AF159+(23)</f>
        <v>218.994</v>
      </c>
      <c r="AH159" s="623">
        <f>AG159-I159</f>
        <v>137.994</v>
      </c>
      <c r="AI159" s="1263" t="s">
        <v>773</v>
      </c>
      <c r="AJ159" s="673">
        <v>80</v>
      </c>
      <c r="AK159" s="969">
        <f>(2*AJ159)+(2*71)+(2*45)</f>
        <v>392</v>
      </c>
      <c r="AL159" s="1262">
        <f>S159-AK159</f>
        <v>36</v>
      </c>
      <c r="AM159" s="1030" t="s">
        <v>758</v>
      </c>
      <c r="AN159" s="273">
        <f>291+(23)</f>
        <v>314</v>
      </c>
      <c r="AO159" s="274">
        <f>Z159-AN159</f>
        <v>-105</v>
      </c>
      <c r="AP159" s="1118"/>
      <c r="AQ159" s="344" t="s">
        <v>738</v>
      </c>
      <c r="AR159" s="276">
        <f>H159</f>
        <v>129.72</v>
      </c>
      <c r="AS159" s="183">
        <f>Z159</f>
        <v>209</v>
      </c>
      <c r="AT159" s="183">
        <f>AN159</f>
        <v>314</v>
      </c>
      <c r="AU159" s="733">
        <f t="shared" si="321"/>
        <v>-126.29999999999995</v>
      </c>
      <c r="AV159" s="460">
        <f>S159-AK159</f>
        <v>36</v>
      </c>
      <c r="AW159" s="261"/>
      <c r="AX159" s="374"/>
      <c r="AY159" s="375"/>
      <c r="AZ159" s="183"/>
      <c r="BA159" s="376"/>
      <c r="BB159" s="377"/>
      <c r="BE159" s="1622">
        <f t="shared" si="322"/>
        <v>32</v>
      </c>
      <c r="BF159" s="1657"/>
      <c r="BG159" s="840"/>
      <c r="BH159" s="841"/>
      <c r="BI159" s="841"/>
      <c r="BJ159" s="1630">
        <v>1</v>
      </c>
      <c r="BK159" s="1630"/>
      <c r="BL159" s="1630"/>
      <c r="BM159" s="1630"/>
      <c r="BN159" s="1630"/>
      <c r="BO159" s="1630"/>
      <c r="BP159" s="1630"/>
      <c r="BQ159" s="1630"/>
      <c r="BR159" s="1630"/>
      <c r="BS159" s="1630"/>
      <c r="BT159" s="1630"/>
    </row>
    <row r="160" spans="1:72" s="298" customFormat="1">
      <c r="A160" s="897">
        <f t="shared" si="323"/>
        <v>60</v>
      </c>
      <c r="B160" s="878">
        <f>B159+1</f>
        <v>33</v>
      </c>
      <c r="C160" s="342" t="s">
        <v>939</v>
      </c>
      <c r="D160" s="607">
        <v>275</v>
      </c>
      <c r="E160" s="862">
        <f>2*D160</f>
        <v>550</v>
      </c>
      <c r="F160" s="862">
        <f>(2*249)</f>
        <v>498</v>
      </c>
      <c r="G160" s="656">
        <f>F160*1.15</f>
        <v>572.69999999999993</v>
      </c>
      <c r="H160" s="274">
        <f t="shared" si="324"/>
        <v>126.5</v>
      </c>
      <c r="I160" s="273">
        <f>0.5*(H160*1.1)</f>
        <v>69.575000000000003</v>
      </c>
      <c r="J160" s="1382">
        <v>0</v>
      </c>
      <c r="K160" s="672">
        <v>142</v>
      </c>
      <c r="L160" s="672" t="s">
        <v>154</v>
      </c>
      <c r="M160" s="672" t="s">
        <v>154</v>
      </c>
      <c r="N160" s="672" t="s">
        <v>154</v>
      </c>
      <c r="O160" s="672" t="s">
        <v>154</v>
      </c>
      <c r="P160" s="672" t="s">
        <v>154</v>
      </c>
      <c r="Q160" s="672">
        <f>SUM(J160:P160)</f>
        <v>142</v>
      </c>
      <c r="R160" s="610">
        <f>2*Q160</f>
        <v>284</v>
      </c>
      <c r="S160" s="611">
        <f>R160+(2*71)</f>
        <v>426</v>
      </c>
      <c r="T160" s="644">
        <v>0</v>
      </c>
      <c r="U160" s="624">
        <v>93</v>
      </c>
      <c r="V160" s="624" t="s">
        <v>12</v>
      </c>
      <c r="W160" s="624" t="s">
        <v>12</v>
      </c>
      <c r="X160" s="624">
        <f>SUM(T160:W160)</f>
        <v>93</v>
      </c>
      <c r="Y160" s="524">
        <f>2*X160</f>
        <v>186</v>
      </c>
      <c r="Z160" s="525">
        <f>Y160+(23)</f>
        <v>209</v>
      </c>
      <c r="AA160" s="624">
        <f>Z160-H160</f>
        <v>82.5</v>
      </c>
      <c r="AB160" s="653">
        <f>Z160-I160</f>
        <v>139.42500000000001</v>
      </c>
      <c r="AC160" s="607">
        <v>326</v>
      </c>
      <c r="AD160" s="624">
        <f t="shared" si="325"/>
        <v>102.187</v>
      </c>
      <c r="AE160" s="624">
        <f>X160-U160+AD160</f>
        <v>102.187</v>
      </c>
      <c r="AF160" s="655">
        <f>2*AE160</f>
        <v>204.374</v>
      </c>
      <c r="AG160" s="735">
        <f>AF160+(23)</f>
        <v>227.374</v>
      </c>
      <c r="AH160" s="624">
        <f>AG160-I160</f>
        <v>157.79899999999998</v>
      </c>
      <c r="AI160" s="1263" t="s">
        <v>763</v>
      </c>
      <c r="AJ160" s="673">
        <v>74</v>
      </c>
      <c r="AK160" s="969">
        <f>(2*AJ160)+(2*71)+(2*45)</f>
        <v>380</v>
      </c>
      <c r="AL160" s="673">
        <f>S160-AK160</f>
        <v>46</v>
      </c>
      <c r="AM160" s="623">
        <v>15</v>
      </c>
      <c r="AN160" s="273">
        <f>373+(23)+AM160</f>
        <v>411</v>
      </c>
      <c r="AO160" s="274">
        <f>Z160-AN160</f>
        <v>-202</v>
      </c>
      <c r="AP160" s="1118"/>
      <c r="AQ160" s="342" t="s">
        <v>739</v>
      </c>
      <c r="AR160" s="276">
        <f>H160</f>
        <v>126.5</v>
      </c>
      <c r="AS160" s="183">
        <f>Z160</f>
        <v>209</v>
      </c>
      <c r="AT160" s="183">
        <f>AN160</f>
        <v>411</v>
      </c>
      <c r="AU160" s="733">
        <f t="shared" si="321"/>
        <v>-146.69999999999993</v>
      </c>
      <c r="AV160" s="460">
        <f>S160-AK160</f>
        <v>46</v>
      </c>
      <c r="AW160" s="261"/>
      <c r="AX160" s="374"/>
      <c r="AY160" s="381"/>
      <c r="AZ160" s="276"/>
      <c r="BA160" s="382"/>
      <c r="BB160" s="383"/>
      <c r="BE160" s="1622">
        <f t="shared" si="322"/>
        <v>33</v>
      </c>
      <c r="BF160" s="1657"/>
      <c r="BG160" s="1630">
        <v>1</v>
      </c>
      <c r="BH160" s="839"/>
      <c r="BI160" s="839"/>
      <c r="BJ160" s="299"/>
      <c r="BK160" s="299"/>
      <c r="BL160" s="299"/>
      <c r="BM160" s="299"/>
      <c r="BN160" s="299"/>
      <c r="BO160" s="299"/>
      <c r="BP160" s="299"/>
      <c r="BQ160" s="299"/>
      <c r="BR160" s="299"/>
      <c r="BS160" s="299"/>
      <c r="BT160" s="299"/>
    </row>
    <row r="161" spans="1:72" s="298" customFormat="1">
      <c r="A161" s="897">
        <f t="shared" si="323"/>
        <v>61</v>
      </c>
      <c r="B161" s="878">
        <f>B160+1</f>
        <v>34</v>
      </c>
      <c r="C161" s="342" t="s">
        <v>428</v>
      </c>
      <c r="D161" s="607">
        <v>288</v>
      </c>
      <c r="E161" s="862">
        <f>2*D161</f>
        <v>576</v>
      </c>
      <c r="F161" s="862">
        <f>2*242</f>
        <v>484</v>
      </c>
      <c r="G161" s="656">
        <f>F161*1.15</f>
        <v>556.59999999999991</v>
      </c>
      <c r="H161" s="274">
        <f t="shared" si="324"/>
        <v>132.48000000000002</v>
      </c>
      <c r="I161" s="273">
        <f>0.5*(H161*1.1)</f>
        <v>72.864000000000019</v>
      </c>
      <c r="J161" s="1382">
        <v>0</v>
      </c>
      <c r="K161" s="672">
        <v>187</v>
      </c>
      <c r="L161" s="672" t="s">
        <v>154</v>
      </c>
      <c r="M161" s="672" t="s">
        <v>154</v>
      </c>
      <c r="N161" s="672" t="s">
        <v>154</v>
      </c>
      <c r="O161" s="672" t="s">
        <v>154</v>
      </c>
      <c r="P161" s="672" t="s">
        <v>154</v>
      </c>
      <c r="Q161" s="672">
        <f>SUM(J161:P161)</f>
        <v>187</v>
      </c>
      <c r="R161" s="610">
        <f>2*Q161</f>
        <v>374</v>
      </c>
      <c r="S161" s="611">
        <f>R161+(2*71)</f>
        <v>516</v>
      </c>
      <c r="T161" s="644">
        <v>0</v>
      </c>
      <c r="U161" s="624">
        <v>93</v>
      </c>
      <c r="V161" s="624" t="s">
        <v>12</v>
      </c>
      <c r="W161" s="624" t="s">
        <v>12</v>
      </c>
      <c r="X161" s="624">
        <f>SUM(T161:W161)</f>
        <v>93</v>
      </c>
      <c r="Y161" s="524">
        <f>2*X161</f>
        <v>186</v>
      </c>
      <c r="Z161" s="525">
        <f>Y161+(23)</f>
        <v>209</v>
      </c>
      <c r="AA161" s="624">
        <f>Z161-H161</f>
        <v>76.519999999999982</v>
      </c>
      <c r="AB161" s="653">
        <f>Z161-I161</f>
        <v>136.13599999999997</v>
      </c>
      <c r="AC161" s="607">
        <v>340</v>
      </c>
      <c r="AD161" s="624">
        <f t="shared" si="325"/>
        <v>105.12</v>
      </c>
      <c r="AE161" s="624">
        <f>X161-U161+AD161</f>
        <v>105.12</v>
      </c>
      <c r="AF161" s="655">
        <f>2*AE161</f>
        <v>210.24</v>
      </c>
      <c r="AG161" s="735">
        <f>AF161+(23)</f>
        <v>233.24</v>
      </c>
      <c r="AH161" s="624">
        <f>AG161-I161</f>
        <v>160.37599999999998</v>
      </c>
      <c r="AI161" s="1263" t="s">
        <v>763</v>
      </c>
      <c r="AJ161" s="673">
        <v>74</v>
      </c>
      <c r="AK161" s="969">
        <f>(2*AJ161)+(2*71)+(2*45)</f>
        <v>380</v>
      </c>
      <c r="AL161" s="673">
        <f>S161-AK161</f>
        <v>136</v>
      </c>
      <c r="AM161" s="623">
        <f>15+15</f>
        <v>30</v>
      </c>
      <c r="AN161" s="273">
        <f>373+(23)+AM161</f>
        <v>426</v>
      </c>
      <c r="AO161" s="274">
        <f>Z161-AN161</f>
        <v>-217</v>
      </c>
      <c r="AP161" s="1118"/>
      <c r="AQ161" s="342" t="s">
        <v>146</v>
      </c>
      <c r="AR161" s="276">
        <f>H161</f>
        <v>132.48000000000002</v>
      </c>
      <c r="AS161" s="183">
        <f>Z161</f>
        <v>209</v>
      </c>
      <c r="AT161" s="183">
        <f>AN161</f>
        <v>426</v>
      </c>
      <c r="AU161" s="733">
        <f t="shared" si="321"/>
        <v>-40.599999999999909</v>
      </c>
      <c r="AV161" s="460">
        <f>S161-AK161</f>
        <v>136</v>
      </c>
      <c r="AW161" s="261"/>
      <c r="AX161" s="374"/>
      <c r="AY161" s="381"/>
      <c r="AZ161" s="276"/>
      <c r="BA161" s="382"/>
      <c r="BB161" s="383"/>
      <c r="BE161" s="1622">
        <f t="shared" si="322"/>
        <v>34</v>
      </c>
      <c r="BF161" s="1657"/>
      <c r="BG161" s="1630">
        <v>1</v>
      </c>
      <c r="BH161" s="839"/>
      <c r="BI161" s="839"/>
      <c r="BJ161" s="299"/>
      <c r="BK161" s="299"/>
      <c r="BL161" s="299"/>
      <c r="BM161" s="299"/>
      <c r="BN161" s="299"/>
      <c r="BO161" s="299"/>
      <c r="BP161" s="299"/>
      <c r="BQ161" s="299"/>
      <c r="BR161" s="299"/>
      <c r="BS161" s="299"/>
      <c r="BT161" s="299"/>
    </row>
    <row r="162" spans="1:72" ht="331" customHeight="1">
      <c r="C162" s="1319" t="s">
        <v>931</v>
      </c>
      <c r="D162" s="1819" t="s">
        <v>932</v>
      </c>
      <c r="E162" s="1707"/>
      <c r="F162" s="1326" t="s">
        <v>903</v>
      </c>
      <c r="G162" s="1328" t="s">
        <v>904</v>
      </c>
      <c r="H162" s="1238" t="s">
        <v>345</v>
      </c>
      <c r="I162" s="1003"/>
      <c r="J162" s="1313" t="s">
        <v>139</v>
      </c>
      <c r="K162" s="1325" t="s">
        <v>353</v>
      </c>
      <c r="L162" s="1325" t="s">
        <v>196</v>
      </c>
      <c r="M162" s="1325" t="s">
        <v>943</v>
      </c>
      <c r="N162" s="1314"/>
      <c r="O162" s="1325" t="s">
        <v>944</v>
      </c>
      <c r="P162" s="1265"/>
      <c r="Q162" s="1265"/>
      <c r="R162" s="425"/>
      <c r="S162" s="1338" t="s">
        <v>983</v>
      </c>
      <c r="T162" s="26"/>
      <c r="U162" s="1350" t="s">
        <v>945</v>
      </c>
      <c r="V162" s="260"/>
      <c r="W162" s="260"/>
      <c r="X162"/>
      <c r="Y162" s="118"/>
      <c r="Z162" s="1350" t="s">
        <v>976</v>
      </c>
      <c r="AA162" s="70"/>
      <c r="AB162" s="1260" t="s">
        <v>349</v>
      </c>
      <c r="AC162" s="1327" t="s">
        <v>907</v>
      </c>
      <c r="AD162" s="1260" t="s">
        <v>350</v>
      </c>
      <c r="AE162" s="140"/>
      <c r="AF162" s="214"/>
      <c r="AG162" s="1350" t="s">
        <v>976</v>
      </c>
      <c r="AH162" s="1101"/>
      <c r="AI162" s="1115"/>
      <c r="AJ162" s="1545" t="s">
        <v>1153</v>
      </c>
      <c r="AK162" s="399"/>
      <c r="AL162" s="1596" t="s">
        <v>1199</v>
      </c>
      <c r="AM162" s="132"/>
      <c r="AN162" s="1324" t="s">
        <v>885</v>
      </c>
      <c r="AO162" s="73"/>
      <c r="AP162" s="1131"/>
      <c r="AQ162" s="799"/>
      <c r="AR162" s="799"/>
      <c r="AS162" s="799"/>
      <c r="AT162" s="799"/>
      <c r="AU162" s="799"/>
      <c r="AV162" s="799"/>
      <c r="AW162" s="123"/>
      <c r="BE162" s="127"/>
      <c r="BF162" s="123"/>
      <c r="BG162" s="123"/>
    </row>
    <row r="163" spans="1:72" s="729" customFormat="1" ht="16" customHeight="1">
      <c r="A163" s="938"/>
      <c r="B163" s="730"/>
      <c r="C163" s="713"/>
      <c r="D163" s="713"/>
      <c r="E163" s="731"/>
      <c r="F163" s="731"/>
      <c r="G163" s="731"/>
      <c r="H163" s="716"/>
      <c r="I163" s="715"/>
      <c r="J163" s="714"/>
      <c r="K163" s="714"/>
      <c r="L163" s="715"/>
      <c r="M163" s="715"/>
      <c r="N163" s="715"/>
      <c r="O163" s="715"/>
      <c r="P163" s="715"/>
      <c r="Q163" s="715"/>
      <c r="R163" s="617"/>
      <c r="S163" s="716"/>
      <c r="T163" s="716"/>
      <c r="U163" s="716"/>
      <c r="V163" s="716"/>
      <c r="W163" s="717"/>
      <c r="X163" s="716"/>
      <c r="Y163" s="718"/>
      <c r="Z163" s="718"/>
      <c r="AA163" s="719"/>
      <c r="AB163" s="720"/>
      <c r="AC163" s="716"/>
      <c r="AD163" s="716"/>
      <c r="AE163" s="716"/>
      <c r="AF163" s="718"/>
      <c r="AG163" s="718"/>
      <c r="AH163" s="721"/>
      <c r="AI163" s="721"/>
      <c r="AJ163" s="722"/>
      <c r="AK163" s="723"/>
      <c r="AL163" s="724"/>
      <c r="AM163" s="724"/>
      <c r="AN163" s="716"/>
      <c r="AO163" s="716"/>
      <c r="AP163" s="1132"/>
      <c r="AQ163" s="732"/>
      <c r="AR163" s="725"/>
      <c r="AS163" s="726"/>
      <c r="AT163" s="726"/>
      <c r="AU163" s="727"/>
      <c r="AV163" s="728" t="s">
        <v>105</v>
      </c>
      <c r="BF163" s="1261"/>
      <c r="BG163" s="1261"/>
      <c r="BH163" s="1261"/>
      <c r="BI163" s="1261"/>
      <c r="BJ163" s="1261"/>
      <c r="BK163" s="1261"/>
      <c r="BL163" s="1261"/>
      <c r="BM163" s="1261"/>
      <c r="BN163" s="1261"/>
      <c r="BO163" s="1261"/>
      <c r="BP163" s="1261"/>
      <c r="BQ163" s="1261"/>
      <c r="BR163" s="1261"/>
      <c r="BS163" s="1261"/>
      <c r="BT163" s="1261"/>
    </row>
    <row r="164" spans="1:72" s="14" customFormat="1">
      <c r="A164" s="927"/>
      <c r="B164" s="898"/>
      <c r="C164" s="1814"/>
      <c r="D164" s="1815"/>
      <c r="E164" s="1815"/>
      <c r="F164" s="1815"/>
      <c r="G164" s="1815"/>
      <c r="H164" s="1815"/>
      <c r="I164" s="1815"/>
      <c r="J164" s="1815"/>
      <c r="K164" s="1815"/>
      <c r="L164" s="1815"/>
      <c r="M164" s="1815"/>
      <c r="N164" s="1815"/>
      <c r="O164" s="1815"/>
      <c r="P164" s="1815"/>
      <c r="Q164" s="1815"/>
      <c r="R164" s="1815"/>
      <c r="S164" s="1815"/>
      <c r="T164" s="1816"/>
      <c r="U164" s="1816"/>
      <c r="V164" s="1816"/>
      <c r="W164" s="1816"/>
      <c r="X164" s="1816"/>
      <c r="Y164" s="1816"/>
      <c r="Z164" s="1816"/>
      <c r="AA164" s="1816"/>
      <c r="AB164" s="1816"/>
      <c r="AC164" s="1816"/>
      <c r="AD164" s="1816"/>
      <c r="AE164" s="1816"/>
      <c r="AF164" s="1816"/>
      <c r="AG164" s="1816"/>
      <c r="AH164" s="1816"/>
      <c r="AI164" s="1816"/>
      <c r="AJ164" s="1816"/>
      <c r="AK164" s="147"/>
      <c r="AL164" s="903"/>
      <c r="AM164" s="990"/>
      <c r="AN164" s="981"/>
      <c r="AO164" s="903"/>
      <c r="AP164" s="1116"/>
      <c r="AQ164" s="170"/>
      <c r="AR164" s="29"/>
      <c r="AU164" s="96"/>
      <c r="BF164" s="199"/>
      <c r="BG164" s="199"/>
      <c r="BH164" s="199"/>
      <c r="BI164" s="199"/>
      <c r="BJ164" s="199"/>
      <c r="BK164" s="199"/>
      <c r="BL164" s="199"/>
      <c r="BM164" s="199"/>
      <c r="BN164" s="199"/>
      <c r="BO164" s="199"/>
      <c r="BP164" s="199"/>
      <c r="BQ164" s="199"/>
      <c r="BR164" s="199"/>
      <c r="BS164" s="199"/>
      <c r="BT164" s="199"/>
    </row>
    <row r="165" spans="1:72" s="1331" customFormat="1" ht="40" customHeight="1">
      <c r="A165" s="1343"/>
      <c r="B165" s="930" t="s">
        <v>619</v>
      </c>
      <c r="C165" s="1559" t="s">
        <v>35</v>
      </c>
      <c r="D165" s="1690" t="s">
        <v>168</v>
      </c>
      <c r="E165" s="1792"/>
      <c r="F165" s="1792"/>
      <c r="G165" s="1792"/>
      <c r="H165" s="1792"/>
      <c r="I165" s="1793"/>
      <c r="J165" s="1788" t="s">
        <v>645</v>
      </c>
      <c r="K165" s="1789"/>
      <c r="L165" s="1790"/>
      <c r="M165" s="1790"/>
      <c r="N165" s="1790"/>
      <c r="O165" s="1790"/>
      <c r="P165" s="1791"/>
      <c r="Q165" s="1790"/>
      <c r="R165" s="1684" t="s">
        <v>882</v>
      </c>
      <c r="S165" s="1779"/>
      <c r="T165" s="1786" t="s">
        <v>664</v>
      </c>
      <c r="U165" s="1787"/>
      <c r="V165" s="1787"/>
      <c r="W165" s="1787"/>
      <c r="X165" s="1787"/>
      <c r="Y165" s="1811" t="s">
        <v>648</v>
      </c>
      <c r="Z165" s="1812"/>
      <c r="AA165" s="1276"/>
      <c r="AB165" s="1276"/>
      <c r="AC165" s="1784" t="s">
        <v>162</v>
      </c>
      <c r="AD165" s="1785"/>
      <c r="AE165" s="1785"/>
      <c r="AF165" s="1782" t="s">
        <v>883</v>
      </c>
      <c r="AG165" s="1783"/>
      <c r="AH165" s="1359"/>
      <c r="AI165" s="1823" t="s">
        <v>167</v>
      </c>
      <c r="AJ165" s="1824"/>
      <c r="AK165" s="1824"/>
      <c r="AL165" s="1824"/>
      <c r="AM165" s="1824"/>
      <c r="AN165" s="1825"/>
      <c r="AO165" s="1278"/>
      <c r="AP165" s="1330"/>
      <c r="AQ165" s="1392"/>
      <c r="AU165" s="1334"/>
      <c r="BF165" s="1632"/>
      <c r="BG165" s="1632"/>
      <c r="BH165" s="1632"/>
      <c r="BI165" s="1632"/>
      <c r="BJ165" s="1632"/>
      <c r="BK165" s="1632"/>
      <c r="BL165" s="1632"/>
      <c r="BM165" s="1632"/>
      <c r="BN165" s="1632"/>
      <c r="BO165" s="1632"/>
      <c r="BP165" s="1632"/>
      <c r="BQ165" s="1632"/>
      <c r="BR165" s="1632"/>
      <c r="BS165" s="1632"/>
      <c r="BT165" s="1632"/>
    </row>
    <row r="166" spans="1:72">
      <c r="C166" s="506"/>
      <c r="D166" s="109">
        <v>1</v>
      </c>
      <c r="E166" s="50">
        <f>D166+1</f>
        <v>2</v>
      </c>
      <c r="F166" s="50">
        <f>E166+1</f>
        <v>3</v>
      </c>
      <c r="G166" s="50">
        <f>F166+1</f>
        <v>4</v>
      </c>
      <c r="H166" s="50">
        <f>G166+1</f>
        <v>5</v>
      </c>
      <c r="I166" s="110">
        <f t="shared" ref="I166:AE166" si="326">H166+1</f>
        <v>6</v>
      </c>
      <c r="J166" s="109">
        <f t="shared" si="326"/>
        <v>7</v>
      </c>
      <c r="K166" s="50">
        <f>J166+1</f>
        <v>8</v>
      </c>
      <c r="L166" s="50">
        <f>K166+1</f>
        <v>9</v>
      </c>
      <c r="M166" s="50">
        <f t="shared" si="326"/>
        <v>10</v>
      </c>
      <c r="N166" s="50">
        <f t="shared" si="326"/>
        <v>11</v>
      </c>
      <c r="O166" s="50">
        <f t="shared" si="326"/>
        <v>12</v>
      </c>
      <c r="P166" s="50">
        <f t="shared" si="326"/>
        <v>13</v>
      </c>
      <c r="Q166" s="50">
        <f t="shared" si="326"/>
        <v>14</v>
      </c>
      <c r="R166" s="1005">
        <f>Q166+1</f>
        <v>15</v>
      </c>
      <c r="S166" s="1007">
        <f t="shared" ref="S166" si="327">R166+1</f>
        <v>16</v>
      </c>
      <c r="T166" s="109">
        <f t="shared" si="326"/>
        <v>17</v>
      </c>
      <c r="U166" s="50">
        <f t="shared" si="326"/>
        <v>18</v>
      </c>
      <c r="V166" s="50">
        <f t="shared" si="326"/>
        <v>19</v>
      </c>
      <c r="W166" s="50">
        <f t="shared" si="326"/>
        <v>20</v>
      </c>
      <c r="X166" s="50">
        <f>W166+1</f>
        <v>21</v>
      </c>
      <c r="Y166" s="1005">
        <f>X166+1</f>
        <v>22</v>
      </c>
      <c r="Z166" s="1007">
        <f t="shared" si="326"/>
        <v>23</v>
      </c>
      <c r="AA166" s="109">
        <f t="shared" si="326"/>
        <v>24</v>
      </c>
      <c r="AB166" s="110">
        <f t="shared" si="326"/>
        <v>25</v>
      </c>
      <c r="AC166" s="109">
        <f t="shared" si="326"/>
        <v>26</v>
      </c>
      <c r="AD166" s="50">
        <f t="shared" si="326"/>
        <v>27</v>
      </c>
      <c r="AE166" s="50">
        <f t="shared" si="326"/>
        <v>28</v>
      </c>
      <c r="AF166" s="1005">
        <f>AE166+1</f>
        <v>29</v>
      </c>
      <c r="AG166" s="1007">
        <f t="shared" ref="AG166:AL166" si="328">AF166+1</f>
        <v>30</v>
      </c>
      <c r="AH166" s="110">
        <f t="shared" si="328"/>
        <v>31</v>
      </c>
      <c r="AI166" s="109">
        <f>AH166+1</f>
        <v>32</v>
      </c>
      <c r="AJ166" s="50">
        <f>AI166+1</f>
        <v>33</v>
      </c>
      <c r="AK166" s="50">
        <f t="shared" si="328"/>
        <v>34</v>
      </c>
      <c r="AL166" s="50">
        <f t="shared" si="328"/>
        <v>35</v>
      </c>
      <c r="AM166" s="50">
        <f t="shared" ref="AM166" si="329">AL166+1</f>
        <v>36</v>
      </c>
      <c r="AN166" s="110">
        <f t="shared" ref="AN166" si="330">AM166+1</f>
        <v>37</v>
      </c>
      <c r="AO166" s="50">
        <f t="shared" ref="AO166" si="331">AN166+1</f>
        <v>38</v>
      </c>
      <c r="AR166" s="16"/>
    </row>
    <row r="167" spans="1:72" ht="124" customHeight="1">
      <c r="B167" s="143"/>
      <c r="C167" s="606" t="s">
        <v>626</v>
      </c>
      <c r="D167" s="1239" t="s">
        <v>333</v>
      </c>
      <c r="E167" s="1240" t="s">
        <v>334</v>
      </c>
      <c r="F167" s="1235" t="s">
        <v>246</v>
      </c>
      <c r="G167" s="1240" t="s">
        <v>234</v>
      </c>
      <c r="H167" s="805" t="s">
        <v>247</v>
      </c>
      <c r="I167" s="1002" t="s">
        <v>604</v>
      </c>
      <c r="J167" s="1239" t="s">
        <v>297</v>
      </c>
      <c r="K167" s="1240" t="s">
        <v>431</v>
      </c>
      <c r="L167" s="1240" t="s">
        <v>432</v>
      </c>
      <c r="M167" s="1240" t="s">
        <v>434</v>
      </c>
      <c r="N167" s="1240" t="s">
        <v>433</v>
      </c>
      <c r="O167" s="1240" t="s">
        <v>335</v>
      </c>
      <c r="P167" s="1240" t="s">
        <v>336</v>
      </c>
      <c r="Q167" s="1320" t="s">
        <v>415</v>
      </c>
      <c r="R167" s="602" t="s">
        <v>257</v>
      </c>
      <c r="S167" s="400" t="s">
        <v>363</v>
      </c>
      <c r="T167" s="1010" t="s">
        <v>435</v>
      </c>
      <c r="U167" s="1010" t="s">
        <v>436</v>
      </c>
      <c r="V167" s="1010" t="s">
        <v>691</v>
      </c>
      <c r="W167" s="1010" t="s">
        <v>692</v>
      </c>
      <c r="X167" s="872" t="s">
        <v>262</v>
      </c>
      <c r="Y167" s="523" t="s">
        <v>995</v>
      </c>
      <c r="Z167" s="599" t="s">
        <v>996</v>
      </c>
      <c r="AA167" s="1010" t="s">
        <v>265</v>
      </c>
      <c r="AB167" s="1010" t="s">
        <v>266</v>
      </c>
      <c r="AC167" s="1239" t="s">
        <v>627</v>
      </c>
      <c r="AD167" s="1010" t="s">
        <v>337</v>
      </c>
      <c r="AE167" s="1010" t="s">
        <v>269</v>
      </c>
      <c r="AF167" s="605" t="s">
        <v>350</v>
      </c>
      <c r="AG167" s="600" t="s">
        <v>270</v>
      </c>
      <c r="AH167" s="1020" t="s">
        <v>338</v>
      </c>
      <c r="AI167" s="1239" t="s">
        <v>812</v>
      </c>
      <c r="AJ167" s="1264" t="s">
        <v>809</v>
      </c>
      <c r="AK167" s="1550" t="s">
        <v>14</v>
      </c>
      <c r="AL167" s="1235" t="s">
        <v>0</v>
      </c>
      <c r="AM167" s="1010" t="s">
        <v>810</v>
      </c>
      <c r="AN167" s="1002" t="s">
        <v>746</v>
      </c>
      <c r="AO167" s="229" t="s">
        <v>272</v>
      </c>
      <c r="AQ167" s="231" t="s">
        <v>332</v>
      </c>
      <c r="AR167" s="805" t="s">
        <v>357</v>
      </c>
      <c r="AS167" s="988" t="s">
        <v>273</v>
      </c>
      <c r="AT167" s="806" t="s">
        <v>567</v>
      </c>
      <c r="AU167" s="1008" t="s">
        <v>811</v>
      </c>
      <c r="AV167" s="1008" t="s">
        <v>745</v>
      </c>
      <c r="BE167" s="1149" t="s">
        <v>822</v>
      </c>
      <c r="BP167" s="2" t="s">
        <v>105</v>
      </c>
    </row>
    <row r="168" spans="1:72" s="180" customFormat="1" ht="16" customHeight="1">
      <c r="A168" s="896">
        <f>A161+1</f>
        <v>62</v>
      </c>
      <c r="B168" s="878">
        <f>B161+1</f>
        <v>35</v>
      </c>
      <c r="C168" s="344" t="s">
        <v>183</v>
      </c>
      <c r="D168" s="607">
        <v>115</v>
      </c>
      <c r="E168" s="1237">
        <f t="shared" ref="E168:E174" si="332">(2*D168)</f>
        <v>230</v>
      </c>
      <c r="F168" s="739">
        <f>(2*106)</f>
        <v>212</v>
      </c>
      <c r="G168" s="656">
        <f t="shared" ref="G168:G174" si="333">F168*1.15</f>
        <v>243.79999999999998</v>
      </c>
      <c r="H168" s="274">
        <f>(E168*0.23)</f>
        <v>52.900000000000006</v>
      </c>
      <c r="I168" s="273">
        <f t="shared" ref="I168:I174" si="334">0.5*(H168*1.1)</f>
        <v>29.095000000000006</v>
      </c>
      <c r="J168" s="656" t="s">
        <v>12</v>
      </c>
      <c r="K168" s="671">
        <v>200</v>
      </c>
      <c r="L168" s="656" t="s">
        <v>12</v>
      </c>
      <c r="M168" s="656" t="s">
        <v>12</v>
      </c>
      <c r="N168" s="656" t="s">
        <v>12</v>
      </c>
      <c r="O168" s="656" t="s">
        <v>12</v>
      </c>
      <c r="P168" s="656" t="s">
        <v>12</v>
      </c>
      <c r="Q168" s="671">
        <f t="shared" ref="Q168:Q174" si="335">SUM(J168:P168)</f>
        <v>200</v>
      </c>
      <c r="R168" s="402">
        <f t="shared" ref="R168:R174" si="336">2*Q168</f>
        <v>400</v>
      </c>
      <c r="S168" s="690">
        <f t="shared" ref="S168:S174" si="337">R168+(2*71)</f>
        <v>542</v>
      </c>
      <c r="T168" s="644">
        <v>10</v>
      </c>
      <c r="U168" s="648" t="s">
        <v>12</v>
      </c>
      <c r="V168" s="648">
        <v>0</v>
      </c>
      <c r="W168" s="648" t="s">
        <v>12</v>
      </c>
      <c r="X168" s="624">
        <f t="shared" ref="X168:X174" si="338">SUM(T168:W168)</f>
        <v>10</v>
      </c>
      <c r="Y168" s="524">
        <f t="shared" ref="Y168:Y174" si="339">2*X168</f>
        <v>20</v>
      </c>
      <c r="Z168" s="525">
        <f t="shared" ref="Z168:Z174" si="340">Y168+(23)</f>
        <v>43</v>
      </c>
      <c r="AA168" s="623">
        <f t="shared" ref="AA168:AA174" si="341">Z168-H168</f>
        <v>-9.9000000000000057</v>
      </c>
      <c r="AB168" s="736">
        <f t="shared" ref="AB168:AB174" si="342">Z168-I168</f>
        <v>13.904999999999994</v>
      </c>
      <c r="AC168" s="607">
        <v>0</v>
      </c>
      <c r="AD168" s="624">
        <v>0</v>
      </c>
      <c r="AE168" s="624">
        <f>X168-V168+AD168</f>
        <v>10</v>
      </c>
      <c r="AF168" s="281">
        <f t="shared" ref="AF168:AF174" si="343">2*AE168</f>
        <v>20</v>
      </c>
      <c r="AG168" s="323">
        <f t="shared" ref="AG168:AG174" si="344">AF168+(23)</f>
        <v>43</v>
      </c>
      <c r="AH168" s="653">
        <f t="shared" ref="AH168:AH174" si="345">AG168-I168</f>
        <v>13.904999999999994</v>
      </c>
      <c r="AI168" s="1303" t="s">
        <v>772</v>
      </c>
      <c r="AJ168" s="969">
        <v>220</v>
      </c>
      <c r="AK168" s="1352">
        <f t="shared" ref="AK168:AK174" si="346">(2*AJ168)+(2*71)+(2*45)</f>
        <v>672</v>
      </c>
      <c r="AL168" s="1352">
        <f t="shared" ref="AL168:AL174" si="347">S168-AK168</f>
        <v>-130</v>
      </c>
      <c r="AM168" s="623">
        <v>15</v>
      </c>
      <c r="AN168" s="273">
        <f>(510)+(23)+AM168</f>
        <v>548</v>
      </c>
      <c r="AO168" s="274">
        <f t="shared" ref="AO168:AO174" si="348">Z168-AN168</f>
        <v>-505</v>
      </c>
      <c r="AP168" s="1118"/>
      <c r="AQ168" s="367" t="s">
        <v>741</v>
      </c>
      <c r="AR168" s="276">
        <f>H168</f>
        <v>52.900000000000006</v>
      </c>
      <c r="AS168" s="183">
        <f>Z168</f>
        <v>43</v>
      </c>
      <c r="AT168" s="183">
        <f t="shared" ref="AT168:AT174" si="349">AN168</f>
        <v>548</v>
      </c>
      <c r="AU168" s="733">
        <f>S168-G168</f>
        <v>298.20000000000005</v>
      </c>
      <c r="AV168" s="460">
        <f>S168-AK168</f>
        <v>-130</v>
      </c>
      <c r="BB168" s="386"/>
      <c r="BC168" s="387"/>
      <c r="BD168" s="388"/>
      <c r="BE168" s="1628">
        <f>B168</f>
        <v>35</v>
      </c>
      <c r="BF168" s="389"/>
      <c r="BG168" s="1630"/>
      <c r="BH168" s="1630"/>
      <c r="BI168" s="1630"/>
      <c r="BJ168" s="1630"/>
      <c r="BK168" s="1630"/>
      <c r="BL168" s="1630"/>
      <c r="BM168" s="1630"/>
      <c r="BN168" s="1630"/>
      <c r="BO168" s="1630"/>
      <c r="BP168" s="1630">
        <v>1</v>
      </c>
      <c r="BQ168" s="1630"/>
      <c r="BR168" s="1630"/>
      <c r="BS168" s="1630"/>
      <c r="BT168" s="1630"/>
    </row>
    <row r="169" spans="1:72" s="180" customFormat="1" ht="16" customHeight="1">
      <c r="A169" s="896">
        <f t="shared" ref="A169:B174" si="350">A168+1</f>
        <v>63</v>
      </c>
      <c r="B169" s="888">
        <f>B148+1</f>
        <v>28</v>
      </c>
      <c r="C169" s="344" t="s">
        <v>438</v>
      </c>
      <c r="D169" s="607">
        <v>202</v>
      </c>
      <c r="E169" s="1237">
        <f t="shared" si="332"/>
        <v>404</v>
      </c>
      <c r="F169" s="739">
        <f>(2*187)</f>
        <v>374</v>
      </c>
      <c r="G169" s="656">
        <f t="shared" si="333"/>
        <v>430.09999999999997</v>
      </c>
      <c r="H169" s="274">
        <f t="shared" ref="H169:H174" si="351">(E169*0.23)</f>
        <v>92.92</v>
      </c>
      <c r="I169" s="273">
        <f t="shared" si="334"/>
        <v>51.106000000000002</v>
      </c>
      <c r="J169" s="656" t="s">
        <v>12</v>
      </c>
      <c r="K169" s="671">
        <v>200</v>
      </c>
      <c r="L169" s="656">
        <v>15</v>
      </c>
      <c r="M169" s="656" t="s">
        <v>12</v>
      </c>
      <c r="N169" s="656">
        <v>59</v>
      </c>
      <c r="O169" s="656" t="s">
        <v>12</v>
      </c>
      <c r="P169" s="656" t="s">
        <v>12</v>
      </c>
      <c r="Q169" s="671">
        <f t="shared" si="335"/>
        <v>274</v>
      </c>
      <c r="R169" s="402">
        <f t="shared" si="336"/>
        <v>548</v>
      </c>
      <c r="S169" s="690">
        <f t="shared" si="337"/>
        <v>690</v>
      </c>
      <c r="T169" s="644">
        <v>10</v>
      </c>
      <c r="U169" s="648" t="s">
        <v>12</v>
      </c>
      <c r="V169" s="624">
        <v>55</v>
      </c>
      <c r="W169" s="624">
        <v>0</v>
      </c>
      <c r="X169" s="624">
        <f t="shared" si="338"/>
        <v>65</v>
      </c>
      <c r="Y169" s="524">
        <f t="shared" si="339"/>
        <v>130</v>
      </c>
      <c r="Z169" s="525">
        <f t="shared" si="340"/>
        <v>153</v>
      </c>
      <c r="AA169" s="623">
        <f t="shared" si="341"/>
        <v>60.08</v>
      </c>
      <c r="AB169" s="736">
        <f t="shared" si="342"/>
        <v>101.89400000000001</v>
      </c>
      <c r="AC169" s="607">
        <f>(232-199)+33</f>
        <v>66</v>
      </c>
      <c r="AD169" s="624">
        <f>(33.89)+(AC169*0.2095)</f>
        <v>47.716999999999999</v>
      </c>
      <c r="AE169" s="624">
        <f t="shared" ref="AE169:AE174" si="352">X169-V169+AD169</f>
        <v>57.716999999999999</v>
      </c>
      <c r="AF169" s="281">
        <f t="shared" si="343"/>
        <v>115.434</v>
      </c>
      <c r="AG169" s="323">
        <f t="shared" si="344"/>
        <v>138.434</v>
      </c>
      <c r="AH169" s="653">
        <f t="shared" si="345"/>
        <v>87.328000000000003</v>
      </c>
      <c r="AI169" s="1303" t="s">
        <v>772</v>
      </c>
      <c r="AJ169" s="969">
        <v>220</v>
      </c>
      <c r="AK169" s="1352">
        <f t="shared" si="346"/>
        <v>672</v>
      </c>
      <c r="AL169" s="1352">
        <f t="shared" si="347"/>
        <v>18</v>
      </c>
      <c r="AM169" s="623">
        <v>15</v>
      </c>
      <c r="AN169" s="273">
        <f>510+(23)+AM169</f>
        <v>548</v>
      </c>
      <c r="AO169" s="274">
        <f t="shared" si="348"/>
        <v>-395</v>
      </c>
      <c r="AP169" s="1118"/>
      <c r="AQ169" s="344" t="s">
        <v>742</v>
      </c>
      <c r="AR169" s="276">
        <f t="shared" ref="AR169:AR174" si="353">H169</f>
        <v>92.92</v>
      </c>
      <c r="AS169" s="183">
        <f t="shared" ref="AS169:AS174" si="354">Z169</f>
        <v>153</v>
      </c>
      <c r="AT169" s="183">
        <f t="shared" si="349"/>
        <v>548</v>
      </c>
      <c r="AU169" s="733">
        <f t="shared" ref="AU169:AU174" si="355">S169-G169</f>
        <v>259.90000000000003</v>
      </c>
      <c r="AV169" s="460">
        <f t="shared" ref="AV169:AV174" si="356">S169-AK169</f>
        <v>18</v>
      </c>
      <c r="BB169" s="275"/>
      <c r="BC169" s="183"/>
      <c r="BD169" s="183"/>
      <c r="BE169" s="1629">
        <f t="shared" ref="BE169:BE174" si="357">B169</f>
        <v>28</v>
      </c>
      <c r="BF169" s="278"/>
      <c r="BG169" s="1630"/>
      <c r="BH169" s="1630"/>
      <c r="BI169" s="1630"/>
      <c r="BJ169" s="1630"/>
      <c r="BK169" s="1630"/>
      <c r="BL169" s="1630"/>
      <c r="BM169" s="1630"/>
      <c r="BN169" s="1630"/>
      <c r="BO169" s="1630"/>
      <c r="BP169" s="1630"/>
      <c r="BQ169" s="1630">
        <v>1</v>
      </c>
      <c r="BR169" s="1630"/>
      <c r="BS169" s="1630"/>
      <c r="BT169" s="1630"/>
    </row>
    <row r="170" spans="1:72" s="298" customFormat="1" ht="16" customHeight="1">
      <c r="A170" s="896">
        <f t="shared" si="350"/>
        <v>64</v>
      </c>
      <c r="B170" s="888">
        <f t="shared" si="350"/>
        <v>29</v>
      </c>
      <c r="C170" s="349" t="s">
        <v>1195</v>
      </c>
      <c r="D170" s="1588">
        <v>100</v>
      </c>
      <c r="E170" s="1587">
        <f t="shared" si="332"/>
        <v>200</v>
      </c>
      <c r="F170" s="1589">
        <f>2*105</f>
        <v>210</v>
      </c>
      <c r="G170" s="1590">
        <f t="shared" si="333"/>
        <v>241.49999999999997</v>
      </c>
      <c r="H170" s="816">
        <f t="shared" si="351"/>
        <v>46</v>
      </c>
      <c r="I170" s="373">
        <f t="shared" si="334"/>
        <v>25.3</v>
      </c>
      <c r="J170" s="1586">
        <v>0</v>
      </c>
      <c r="K170" s="364">
        <v>200</v>
      </c>
      <c r="L170" s="364">
        <v>15</v>
      </c>
      <c r="M170" s="364">
        <v>66</v>
      </c>
      <c r="N170" s="1587">
        <f>41-19</f>
        <v>22</v>
      </c>
      <c r="O170" s="1587">
        <v>15</v>
      </c>
      <c r="P170" s="1587" t="s">
        <v>12</v>
      </c>
      <c r="Q170" s="364">
        <f t="shared" si="335"/>
        <v>318</v>
      </c>
      <c r="R170" s="1591">
        <f t="shared" si="336"/>
        <v>636</v>
      </c>
      <c r="S170" s="690">
        <f t="shared" si="337"/>
        <v>778</v>
      </c>
      <c r="T170" s="644">
        <v>10</v>
      </c>
      <c r="U170" s="624">
        <v>0</v>
      </c>
      <c r="V170" s="624">
        <v>69</v>
      </c>
      <c r="W170" s="624">
        <v>0</v>
      </c>
      <c r="X170" s="624">
        <f t="shared" si="338"/>
        <v>79</v>
      </c>
      <c r="Y170" s="543">
        <f t="shared" si="339"/>
        <v>158</v>
      </c>
      <c r="Z170" s="525">
        <f t="shared" si="340"/>
        <v>181</v>
      </c>
      <c r="AA170" s="624">
        <f t="shared" si="341"/>
        <v>135</v>
      </c>
      <c r="AB170" s="736">
        <f t="shared" si="342"/>
        <v>155.69999999999999</v>
      </c>
      <c r="AC170" s="1592">
        <f>(199-15)+33</f>
        <v>217</v>
      </c>
      <c r="AD170" s="624">
        <f t="shared" ref="AD170" si="358">(33.89)+(AC170*0.2095)</f>
        <v>79.351500000000001</v>
      </c>
      <c r="AE170" s="624">
        <f t="shared" si="352"/>
        <v>89.351500000000001</v>
      </c>
      <c r="AF170" s="322">
        <f t="shared" si="343"/>
        <v>178.703</v>
      </c>
      <c r="AG170" s="323">
        <f t="shared" si="344"/>
        <v>201.703</v>
      </c>
      <c r="AH170" s="653">
        <f t="shared" si="345"/>
        <v>176.40299999999999</v>
      </c>
      <c r="AI170" s="1609" t="s">
        <v>1202</v>
      </c>
      <c r="AJ170" s="671">
        <v>53</v>
      </c>
      <c r="AK170" s="1237">
        <f t="shared" si="346"/>
        <v>338</v>
      </c>
      <c r="AL170" s="656">
        <f t="shared" si="347"/>
        <v>440</v>
      </c>
      <c r="AM170" s="1030">
        <v>15</v>
      </c>
      <c r="AN170" s="373">
        <f>189+(23)+AM170</f>
        <v>227</v>
      </c>
      <c r="AO170" s="816">
        <f t="shared" si="348"/>
        <v>-46</v>
      </c>
      <c r="AP170" s="1118"/>
      <c r="AQ170" s="349" t="s">
        <v>1154</v>
      </c>
      <c r="AR170" s="276">
        <f t="shared" si="353"/>
        <v>46</v>
      </c>
      <c r="AS170" s="183">
        <f t="shared" si="354"/>
        <v>181</v>
      </c>
      <c r="AT170" s="276">
        <f t="shared" si="349"/>
        <v>227</v>
      </c>
      <c r="AU170" s="733">
        <f t="shared" si="355"/>
        <v>536.5</v>
      </c>
      <c r="AV170" s="460">
        <f t="shared" si="356"/>
        <v>440</v>
      </c>
      <c r="BB170" s="270"/>
      <c r="BC170" s="276"/>
      <c r="BD170" s="276"/>
      <c r="BE170" s="1629">
        <f t="shared" si="357"/>
        <v>29</v>
      </c>
      <c r="BF170" s="317"/>
      <c r="BG170" s="299"/>
      <c r="BH170" s="299"/>
      <c r="BI170" s="299"/>
      <c r="BJ170" s="299"/>
      <c r="BK170" s="299"/>
      <c r="BL170" s="299"/>
      <c r="BM170" s="299"/>
      <c r="BN170" s="1630">
        <v>1</v>
      </c>
      <c r="BO170" s="1630"/>
      <c r="BP170" s="299"/>
      <c r="BQ170" s="299"/>
      <c r="BR170" s="299"/>
      <c r="BS170" s="299"/>
      <c r="BT170" s="299"/>
    </row>
    <row r="171" spans="1:72" s="957" customFormat="1" ht="16" customHeight="1">
      <c r="A171" s="896">
        <f t="shared" ref="A171" si="359">A170+1</f>
        <v>65</v>
      </c>
      <c r="B171" s="888">
        <f t="shared" si="350"/>
        <v>30</v>
      </c>
      <c r="C171" s="349" t="s">
        <v>1196</v>
      </c>
      <c r="D171" s="1588">
        <v>154</v>
      </c>
      <c r="E171" s="1587">
        <f>(2*D171)</f>
        <v>308</v>
      </c>
      <c r="F171" s="1589">
        <f>2*145</f>
        <v>290</v>
      </c>
      <c r="G171" s="1590">
        <f>F171*1.15</f>
        <v>333.5</v>
      </c>
      <c r="H171" s="816">
        <f>(E171*0.23)</f>
        <v>70.84</v>
      </c>
      <c r="I171" s="373">
        <f>0.5*(H171*1.1)</f>
        <v>38.962000000000003</v>
      </c>
      <c r="J171" s="1586">
        <v>0</v>
      </c>
      <c r="K171" s="364">
        <v>200</v>
      </c>
      <c r="L171" s="1587">
        <v>15</v>
      </c>
      <c r="M171" s="364">
        <v>15</v>
      </c>
      <c r="N171" s="1587">
        <f>99-67</f>
        <v>32</v>
      </c>
      <c r="O171" s="1587">
        <v>15</v>
      </c>
      <c r="P171" s="1587" t="s">
        <v>12</v>
      </c>
      <c r="Q171" s="364">
        <f t="shared" si="335"/>
        <v>277</v>
      </c>
      <c r="R171" s="1591">
        <f>2*Q171</f>
        <v>554</v>
      </c>
      <c r="S171" s="690">
        <f>R171+(2*71)</f>
        <v>696</v>
      </c>
      <c r="T171" s="644">
        <v>10</v>
      </c>
      <c r="U171" s="624">
        <v>0</v>
      </c>
      <c r="V171" s="624">
        <v>55</v>
      </c>
      <c r="W171" s="624">
        <v>0</v>
      </c>
      <c r="X171" s="624">
        <f>SUM(T171:W171)</f>
        <v>65</v>
      </c>
      <c r="Y171" s="543">
        <f>2*X171</f>
        <v>130</v>
      </c>
      <c r="Z171" s="525">
        <f>Y171+(23)</f>
        <v>153</v>
      </c>
      <c r="AA171" s="623">
        <f>Z171-H171</f>
        <v>82.16</v>
      </c>
      <c r="AB171" s="653">
        <f>Z171-I171</f>
        <v>114.038</v>
      </c>
      <c r="AC171" s="1588">
        <v>0</v>
      </c>
      <c r="AD171" s="624">
        <v>58</v>
      </c>
      <c r="AE171" s="624">
        <f t="shared" si="352"/>
        <v>68</v>
      </c>
      <c r="AF171" s="322">
        <f>2*AE171</f>
        <v>136</v>
      </c>
      <c r="AG171" s="323">
        <f>AF171+(23)</f>
        <v>159</v>
      </c>
      <c r="AH171" s="653">
        <f>AG171-I171</f>
        <v>120.038</v>
      </c>
      <c r="AI171" s="1609" t="s">
        <v>769</v>
      </c>
      <c r="AJ171" s="671">
        <v>300</v>
      </c>
      <c r="AK171" s="1237">
        <f>(2*AJ171)+(2*71)+(2*45)</f>
        <v>832</v>
      </c>
      <c r="AL171" s="1243">
        <f>S171-AK171</f>
        <v>-136</v>
      </c>
      <c r="AM171" s="1030">
        <v>15</v>
      </c>
      <c r="AN171" s="373">
        <f>308+(23)+AM171</f>
        <v>346</v>
      </c>
      <c r="AO171" s="816">
        <f t="shared" si="348"/>
        <v>-193</v>
      </c>
      <c r="AP171" s="1129"/>
      <c r="AQ171" s="349" t="s">
        <v>1157</v>
      </c>
      <c r="AR171" s="921">
        <f>H171</f>
        <v>70.84</v>
      </c>
      <c r="AS171" s="921">
        <f>Z171</f>
        <v>153</v>
      </c>
      <c r="AT171" s="921">
        <f t="shared" si="349"/>
        <v>346</v>
      </c>
      <c r="AU171" s="733">
        <f t="shared" si="355"/>
        <v>362.5</v>
      </c>
      <c r="AV171" s="460">
        <f t="shared" si="356"/>
        <v>-136</v>
      </c>
      <c r="BB171" s="270"/>
      <c r="BC171" s="276"/>
      <c r="BD171" s="276"/>
      <c r="BE171" s="1629">
        <f t="shared" si="357"/>
        <v>30</v>
      </c>
      <c r="BF171" s="317"/>
      <c r="BG171" s="299"/>
      <c r="BH171" s="299"/>
      <c r="BI171" s="299"/>
      <c r="BJ171" s="299"/>
      <c r="BK171" s="299"/>
      <c r="BL171" s="299"/>
      <c r="BM171" s="299"/>
      <c r="BN171" s="1630">
        <v>1</v>
      </c>
      <c r="BO171" s="1630"/>
      <c r="BP171" s="299"/>
      <c r="BQ171" s="299"/>
      <c r="BR171" s="299"/>
      <c r="BS171" s="299"/>
      <c r="BT171" s="299"/>
    </row>
    <row r="172" spans="1:72" s="180" customFormat="1" ht="16" customHeight="1">
      <c r="A172" s="896">
        <f t="shared" ref="A172" si="360">A171+1</f>
        <v>66</v>
      </c>
      <c r="B172" s="888">
        <f>B171+1</f>
        <v>31</v>
      </c>
      <c r="C172" s="344" t="s">
        <v>439</v>
      </c>
      <c r="D172" s="607">
        <v>278</v>
      </c>
      <c r="E172" s="656">
        <f t="shared" si="332"/>
        <v>556</v>
      </c>
      <c r="F172" s="862">
        <f>(2*255)</f>
        <v>510</v>
      </c>
      <c r="G172" s="656">
        <f t="shared" si="333"/>
        <v>586.5</v>
      </c>
      <c r="H172" s="274">
        <f t="shared" si="351"/>
        <v>127.88000000000001</v>
      </c>
      <c r="I172" s="273">
        <f t="shared" si="334"/>
        <v>70.334000000000017</v>
      </c>
      <c r="J172" s="656" t="s">
        <v>12</v>
      </c>
      <c r="K172" s="671">
        <v>200</v>
      </c>
      <c r="L172" s="656">
        <v>15</v>
      </c>
      <c r="M172" s="656" t="s">
        <v>12</v>
      </c>
      <c r="N172" s="656">
        <v>70</v>
      </c>
      <c r="O172" s="656" t="s">
        <v>12</v>
      </c>
      <c r="P172" s="656" t="s">
        <v>12</v>
      </c>
      <c r="Q172" s="671">
        <f t="shared" si="335"/>
        <v>285</v>
      </c>
      <c r="R172" s="402">
        <f t="shared" si="336"/>
        <v>570</v>
      </c>
      <c r="S172" s="690">
        <f t="shared" si="337"/>
        <v>712</v>
      </c>
      <c r="T172" s="644">
        <v>10</v>
      </c>
      <c r="U172" s="648" t="s">
        <v>12</v>
      </c>
      <c r="V172" s="624">
        <v>70</v>
      </c>
      <c r="W172" s="624">
        <v>0</v>
      </c>
      <c r="X172" s="624">
        <f t="shared" si="338"/>
        <v>80</v>
      </c>
      <c r="Y172" s="524">
        <f t="shared" si="339"/>
        <v>160</v>
      </c>
      <c r="Z172" s="525">
        <f t="shared" si="340"/>
        <v>183</v>
      </c>
      <c r="AA172" s="623">
        <f t="shared" si="341"/>
        <v>55.11999999999999</v>
      </c>
      <c r="AB172" s="736">
        <f t="shared" si="342"/>
        <v>112.66599999999998</v>
      </c>
      <c r="AC172" s="613">
        <f>(306-199)+33</f>
        <v>140</v>
      </c>
      <c r="AD172" s="624">
        <f t="shared" ref="AD172:AD174" si="361">(33.89)+(AC172*0.2095)</f>
        <v>63.22</v>
      </c>
      <c r="AE172" s="624">
        <f t="shared" si="352"/>
        <v>73.22</v>
      </c>
      <c r="AF172" s="281">
        <f t="shared" si="343"/>
        <v>146.44</v>
      </c>
      <c r="AG172" s="323">
        <f t="shared" si="344"/>
        <v>169.44</v>
      </c>
      <c r="AH172" s="653">
        <f t="shared" si="345"/>
        <v>99.10599999999998</v>
      </c>
      <c r="AI172" s="1427" t="s">
        <v>774</v>
      </c>
      <c r="AJ172" s="673">
        <v>220</v>
      </c>
      <c r="AK172" s="1352">
        <f t="shared" si="346"/>
        <v>672</v>
      </c>
      <c r="AL172" s="672">
        <f t="shared" si="347"/>
        <v>40</v>
      </c>
      <c r="AM172" s="1030" t="s">
        <v>758</v>
      </c>
      <c r="AN172" s="273">
        <f>546+(23)</f>
        <v>569</v>
      </c>
      <c r="AO172" s="274">
        <f t="shared" si="348"/>
        <v>-386</v>
      </c>
      <c r="AP172" s="1118"/>
      <c r="AQ172" s="344" t="s">
        <v>743</v>
      </c>
      <c r="AR172" s="276">
        <f t="shared" si="353"/>
        <v>127.88000000000001</v>
      </c>
      <c r="AS172" s="183">
        <f t="shared" si="354"/>
        <v>183</v>
      </c>
      <c r="AT172" s="276">
        <f t="shared" si="349"/>
        <v>569</v>
      </c>
      <c r="AU172" s="733">
        <f t="shared" si="355"/>
        <v>125.5</v>
      </c>
      <c r="AV172" s="460">
        <f t="shared" si="356"/>
        <v>40</v>
      </c>
      <c r="BB172" s="275"/>
      <c r="BC172" s="183"/>
      <c r="BD172" s="183"/>
      <c r="BE172" s="1629">
        <f t="shared" si="357"/>
        <v>31</v>
      </c>
      <c r="BF172" s="278"/>
      <c r="BG172" s="1630"/>
      <c r="BH172" s="1630"/>
      <c r="BI172" s="1630"/>
      <c r="BJ172" s="1630"/>
      <c r="BK172" s="1630"/>
      <c r="BL172" s="1630"/>
      <c r="BM172" s="1630"/>
      <c r="BN172" s="1630"/>
      <c r="BO172" s="1630"/>
      <c r="BP172" s="1630"/>
      <c r="BQ172" s="1630">
        <v>1</v>
      </c>
      <c r="BR172" s="1630"/>
      <c r="BS172" s="1630"/>
      <c r="BT172" s="1630"/>
    </row>
    <row r="173" spans="1:72" s="180" customFormat="1" ht="16" customHeight="1">
      <c r="A173" s="896">
        <f t="shared" ref="A173" si="362">A172+1</f>
        <v>67</v>
      </c>
      <c r="B173" s="888">
        <f>B172+1</f>
        <v>32</v>
      </c>
      <c r="C173" s="344" t="s">
        <v>1197</v>
      </c>
      <c r="D173" s="1588">
        <v>86</v>
      </c>
      <c r="E173" s="1589">
        <f t="shared" si="332"/>
        <v>172</v>
      </c>
      <c r="F173" s="1589">
        <f>2*101</f>
        <v>202</v>
      </c>
      <c r="G173" s="1590">
        <f t="shared" si="333"/>
        <v>232.29999999999998</v>
      </c>
      <c r="H173" s="816">
        <f t="shared" si="351"/>
        <v>39.56</v>
      </c>
      <c r="I173" s="373">
        <f t="shared" si="334"/>
        <v>21.758000000000003</v>
      </c>
      <c r="J173" s="364">
        <v>0</v>
      </c>
      <c r="K173" s="364">
        <v>200</v>
      </c>
      <c r="L173" s="1587">
        <v>15</v>
      </c>
      <c r="M173" s="364">
        <v>15</v>
      </c>
      <c r="N173" s="364">
        <v>99</v>
      </c>
      <c r="O173" s="1587" t="s">
        <v>12</v>
      </c>
      <c r="P173" s="1587" t="s">
        <v>12</v>
      </c>
      <c r="Q173" s="364">
        <f t="shared" si="335"/>
        <v>329</v>
      </c>
      <c r="R173" s="1591">
        <f t="shared" si="336"/>
        <v>658</v>
      </c>
      <c r="S173" s="690">
        <f t="shared" si="337"/>
        <v>800</v>
      </c>
      <c r="T173" s="644">
        <v>10</v>
      </c>
      <c r="U173" s="624">
        <v>0</v>
      </c>
      <c r="V173" s="624">
        <v>70</v>
      </c>
      <c r="W173" s="624">
        <v>0</v>
      </c>
      <c r="X173" s="624">
        <f t="shared" si="338"/>
        <v>80</v>
      </c>
      <c r="Y173" s="543">
        <f t="shared" si="339"/>
        <v>160</v>
      </c>
      <c r="Z173" s="534">
        <f t="shared" si="340"/>
        <v>183</v>
      </c>
      <c r="AA173" s="701">
        <f t="shared" si="341"/>
        <v>143.44</v>
      </c>
      <c r="AB173" s="624">
        <f t="shared" si="342"/>
        <v>161.24199999999999</v>
      </c>
      <c r="AC173" s="1588">
        <v>258</v>
      </c>
      <c r="AD173" s="624">
        <f t="shared" si="361"/>
        <v>87.941000000000003</v>
      </c>
      <c r="AE173" s="624">
        <f t="shared" si="352"/>
        <v>97.941000000000003</v>
      </c>
      <c r="AF173" s="322">
        <f t="shared" si="343"/>
        <v>195.88200000000001</v>
      </c>
      <c r="AG173" s="323">
        <f t="shared" si="344"/>
        <v>218.88200000000001</v>
      </c>
      <c r="AH173" s="703">
        <f t="shared" si="345"/>
        <v>197.124</v>
      </c>
      <c r="AI173" s="1610" t="s">
        <v>770</v>
      </c>
      <c r="AJ173" s="671">
        <v>53</v>
      </c>
      <c r="AK173" s="656">
        <f t="shared" si="346"/>
        <v>338</v>
      </c>
      <c r="AL173" s="1243">
        <f t="shared" si="347"/>
        <v>462</v>
      </c>
      <c r="AM173" s="1030" t="s">
        <v>758</v>
      </c>
      <c r="AN173" s="373">
        <f>189+((23))</f>
        <v>212</v>
      </c>
      <c r="AO173" s="816">
        <f t="shared" si="348"/>
        <v>-29</v>
      </c>
      <c r="AP173" s="1118"/>
      <c r="AQ173" s="344" t="s">
        <v>1155</v>
      </c>
      <c r="AR173" s="276">
        <f t="shared" si="353"/>
        <v>39.56</v>
      </c>
      <c r="AS173" s="183">
        <f t="shared" si="354"/>
        <v>183</v>
      </c>
      <c r="AT173" s="276">
        <f t="shared" si="349"/>
        <v>212</v>
      </c>
      <c r="AU173" s="733">
        <f t="shared" si="355"/>
        <v>567.70000000000005</v>
      </c>
      <c r="AV173" s="460">
        <f t="shared" si="356"/>
        <v>462</v>
      </c>
      <c r="AW173" s="376"/>
      <c r="BB173" s="275"/>
      <c r="BC173" s="183"/>
      <c r="BD173" s="183"/>
      <c r="BE173" s="1629">
        <f t="shared" si="357"/>
        <v>32</v>
      </c>
      <c r="BF173" s="278"/>
      <c r="BG173" s="1630"/>
      <c r="BH173" s="1630"/>
      <c r="BI173" s="1630"/>
      <c r="BJ173" s="1630"/>
      <c r="BK173" s="1630"/>
      <c r="BL173" s="1630"/>
      <c r="BM173" s="1630"/>
      <c r="BN173" s="1630">
        <v>1</v>
      </c>
      <c r="BO173" s="1630"/>
      <c r="BP173" s="1630"/>
      <c r="BQ173" s="1630"/>
      <c r="BR173" s="1630"/>
      <c r="BS173" s="1630"/>
      <c r="BT173" s="1630"/>
    </row>
    <row r="174" spans="1:72" s="180" customFormat="1" ht="16" customHeight="1">
      <c r="A174" s="896">
        <f t="shared" ref="A174" si="363">A173+1</f>
        <v>68</v>
      </c>
      <c r="B174" s="888">
        <f t="shared" si="350"/>
        <v>33</v>
      </c>
      <c r="C174" s="344" t="s">
        <v>1198</v>
      </c>
      <c r="D174" s="1588">
        <v>120</v>
      </c>
      <c r="E174" s="1587">
        <f t="shared" si="332"/>
        <v>240</v>
      </c>
      <c r="F174" s="1589">
        <f>2*107</f>
        <v>214</v>
      </c>
      <c r="G174" s="1590">
        <f t="shared" si="333"/>
        <v>246.1</v>
      </c>
      <c r="H174" s="816">
        <f t="shared" si="351"/>
        <v>55.2</v>
      </c>
      <c r="I174" s="373">
        <f t="shared" si="334"/>
        <v>30.360000000000003</v>
      </c>
      <c r="J174" s="1586">
        <v>0</v>
      </c>
      <c r="K174" s="364">
        <v>200</v>
      </c>
      <c r="L174" s="364">
        <v>15</v>
      </c>
      <c r="M174" s="364">
        <v>15</v>
      </c>
      <c r="N174" s="364">
        <f>99-41</f>
        <v>58</v>
      </c>
      <c r="O174" s="1587" t="s">
        <v>12</v>
      </c>
      <c r="P174" s="1587" t="s">
        <v>12</v>
      </c>
      <c r="Q174" s="364">
        <f t="shared" si="335"/>
        <v>288</v>
      </c>
      <c r="R174" s="1591">
        <f t="shared" si="336"/>
        <v>576</v>
      </c>
      <c r="S174" s="690">
        <f t="shared" si="337"/>
        <v>718</v>
      </c>
      <c r="T174" s="644">
        <v>10</v>
      </c>
      <c r="U174" s="624">
        <v>0</v>
      </c>
      <c r="V174" s="624">
        <v>62</v>
      </c>
      <c r="W174" s="624">
        <v>0</v>
      </c>
      <c r="X174" s="624">
        <f t="shared" si="338"/>
        <v>72</v>
      </c>
      <c r="Y174" s="543">
        <f t="shared" si="339"/>
        <v>144</v>
      </c>
      <c r="Z174" s="534">
        <f t="shared" si="340"/>
        <v>167</v>
      </c>
      <c r="AA174" s="701">
        <f t="shared" si="341"/>
        <v>111.8</v>
      </c>
      <c r="AB174" s="624">
        <f t="shared" si="342"/>
        <v>136.63999999999999</v>
      </c>
      <c r="AC174" s="1592">
        <v>137</v>
      </c>
      <c r="AD174" s="624">
        <f t="shared" si="361"/>
        <v>62.591499999999996</v>
      </c>
      <c r="AE174" s="624">
        <f t="shared" si="352"/>
        <v>72.591499999999996</v>
      </c>
      <c r="AF174" s="322">
        <f t="shared" si="343"/>
        <v>145.18299999999999</v>
      </c>
      <c r="AG174" s="323">
        <f t="shared" si="344"/>
        <v>168.18299999999999</v>
      </c>
      <c r="AH174" s="659">
        <f t="shared" si="345"/>
        <v>137.82299999999998</v>
      </c>
      <c r="AI174" s="1610" t="s">
        <v>769</v>
      </c>
      <c r="AJ174" s="671">
        <v>300</v>
      </c>
      <c r="AK174" s="656">
        <f t="shared" si="346"/>
        <v>832</v>
      </c>
      <c r="AL174" s="1243">
        <f t="shared" si="347"/>
        <v>-114</v>
      </c>
      <c r="AM174" s="1030" t="s">
        <v>758</v>
      </c>
      <c r="AN174" s="373">
        <f>308+((23))</f>
        <v>331</v>
      </c>
      <c r="AO174" s="816">
        <f t="shared" si="348"/>
        <v>-164</v>
      </c>
      <c r="AP174" s="1118"/>
      <c r="AQ174" s="344" t="s">
        <v>1156</v>
      </c>
      <c r="AR174" s="276">
        <f t="shared" si="353"/>
        <v>55.2</v>
      </c>
      <c r="AS174" s="183">
        <f t="shared" si="354"/>
        <v>167</v>
      </c>
      <c r="AT174" s="276">
        <f t="shared" si="349"/>
        <v>331</v>
      </c>
      <c r="AU174" s="733">
        <f t="shared" si="355"/>
        <v>471.9</v>
      </c>
      <c r="AV174" s="460">
        <f t="shared" si="356"/>
        <v>-114</v>
      </c>
      <c r="AW174"/>
      <c r="BB174" s="367"/>
      <c r="BC174" s="183"/>
      <c r="BD174" s="183"/>
      <c r="BE174" s="1629">
        <f t="shared" si="357"/>
        <v>33</v>
      </c>
      <c r="BF174" s="278"/>
      <c r="BG174" s="1630"/>
      <c r="BH174" s="1630"/>
      <c r="BI174" s="1630"/>
      <c r="BJ174" s="1630"/>
      <c r="BK174" s="1630"/>
      <c r="BL174" s="1630"/>
      <c r="BM174" s="1630"/>
      <c r="BN174" s="1630">
        <v>1</v>
      </c>
      <c r="BO174" s="1630"/>
      <c r="BP174" s="1630"/>
      <c r="BQ174" s="1630"/>
      <c r="BR174" s="1630"/>
      <c r="BS174" s="1630"/>
      <c r="BT174" s="1630"/>
    </row>
    <row r="175" spans="1:72" ht="327" customHeight="1">
      <c r="C175" s="1391" t="s">
        <v>946</v>
      </c>
      <c r="D175" s="1818" t="s">
        <v>947</v>
      </c>
      <c r="E175" s="1688"/>
      <c r="F175" s="1326" t="s">
        <v>903</v>
      </c>
      <c r="G175" s="1328" t="s">
        <v>904</v>
      </c>
      <c r="H175" s="1238" t="s">
        <v>345</v>
      </c>
      <c r="I175" s="1003"/>
      <c r="J175" s="1358" t="s">
        <v>139</v>
      </c>
      <c r="K175" s="1322" t="s">
        <v>948</v>
      </c>
      <c r="L175" s="1322" t="s">
        <v>950</v>
      </c>
      <c r="M175" s="1322" t="s">
        <v>949</v>
      </c>
      <c r="N175" s="1322" t="s">
        <v>352</v>
      </c>
      <c r="O175" s="1322" t="s">
        <v>950</v>
      </c>
      <c r="P175" s="1325" t="s">
        <v>944</v>
      </c>
      <c r="Q175" s="1315"/>
      <c r="R175" s="144"/>
      <c r="S175" s="1338" t="s">
        <v>983</v>
      </c>
      <c r="T175" s="1393" t="s">
        <v>951</v>
      </c>
      <c r="U175" s="1365" t="s">
        <v>437</v>
      </c>
      <c r="V175" s="1350" t="s">
        <v>354</v>
      </c>
      <c r="W175" s="1350" t="s">
        <v>354</v>
      </c>
      <c r="X175" s="601"/>
      <c r="Y175" s="1394"/>
      <c r="Z175" s="1350" t="s">
        <v>976</v>
      </c>
      <c r="AA175" s="1395"/>
      <c r="AB175" s="1260" t="s">
        <v>349</v>
      </c>
      <c r="AC175" s="1396" t="s">
        <v>959</v>
      </c>
      <c r="AD175" s="1260" t="s">
        <v>350</v>
      </c>
      <c r="AE175" s="140"/>
      <c r="AF175" s="117"/>
      <c r="AG175" s="1350" t="s">
        <v>976</v>
      </c>
      <c r="AH175" s="420"/>
      <c r="AI175" s="1115"/>
      <c r="AJ175" s="1545" t="s">
        <v>1153</v>
      </c>
      <c r="AK175" s="399"/>
      <c r="AL175" s="1243"/>
      <c r="AM175" s="47"/>
      <c r="AN175" s="373"/>
      <c r="AO175" s="73"/>
      <c r="AQ175" s="1321" t="s">
        <v>952</v>
      </c>
      <c r="AR175" s="800"/>
      <c r="AS175" s="800"/>
      <c r="AT175" s="800"/>
      <c r="AU175" s="800"/>
      <c r="AV175" s="1099" t="s">
        <v>105</v>
      </c>
      <c r="BB175" s="3"/>
      <c r="BC175" s="16"/>
      <c r="BD175" s="16"/>
      <c r="BE175" s="43"/>
      <c r="BF175" s="30"/>
    </row>
    <row r="176" spans="1:72">
      <c r="B176" s="143"/>
      <c r="C176" s="85"/>
      <c r="D176" s="85"/>
      <c r="E176" s="23"/>
      <c r="F176" s="23"/>
      <c r="G176" s="23"/>
      <c r="H176" s="84"/>
      <c r="I176" s="86"/>
      <c r="J176" s="86"/>
      <c r="K176" s="86"/>
      <c r="L176" s="86"/>
      <c r="M176" s="86"/>
      <c r="N176" s="419"/>
      <c r="O176" s="86"/>
      <c r="P176" s="86"/>
      <c r="Q176" s="86"/>
      <c r="R176" s="61"/>
      <c r="S176" s="23"/>
      <c r="T176" s="23"/>
      <c r="U176" s="45"/>
      <c r="V176" s="419"/>
      <c r="W176" s="419"/>
      <c r="X176" s="23"/>
      <c r="Y176" s="65"/>
      <c r="Z176" s="88"/>
      <c r="AA176" s="88"/>
      <c r="AB176" s="103"/>
      <c r="AC176" s="87"/>
      <c r="AD176" s="87"/>
      <c r="AE176" s="87"/>
      <c r="AF176" s="23"/>
      <c r="AG176" s="88"/>
      <c r="AH176" s="445"/>
      <c r="AI176" s="445"/>
      <c r="AJ176" s="88"/>
      <c r="AK176" s="88"/>
      <c r="AL176" s="130"/>
      <c r="AM176" s="130"/>
      <c r="AN176" s="27"/>
      <c r="AS176" s="14"/>
      <c r="AT176" s="104"/>
      <c r="AU176" s="123"/>
      <c r="AV176" s="510" t="s">
        <v>105</v>
      </c>
      <c r="BC176" s="127"/>
      <c r="BD176" s="127"/>
      <c r="BE176" s="127"/>
    </row>
    <row r="177" spans="1:72" s="14" customFormat="1">
      <c r="A177" s="927"/>
      <c r="B177" s="428"/>
      <c r="C177" s="984"/>
      <c r="D177" s="984"/>
      <c r="E177" s="984"/>
      <c r="F177" s="984"/>
      <c r="G177" s="984"/>
      <c r="H177" s="984"/>
      <c r="I177" s="984"/>
      <c r="J177" s="984"/>
      <c r="K177" s="984"/>
      <c r="L177" s="984"/>
      <c r="M177" s="984"/>
      <c r="N177" s="984"/>
      <c r="O177" s="984"/>
      <c r="P177" s="984"/>
      <c r="Q177" s="984"/>
      <c r="R177" s="984"/>
      <c r="S177" s="984"/>
      <c r="T177" s="985"/>
      <c r="U177" s="985"/>
      <c r="V177" s="985"/>
      <c r="W177" s="985"/>
      <c r="X177" s="985"/>
      <c r="Y177" s="985"/>
      <c r="Z177" s="985"/>
      <c r="AA177" s="985"/>
      <c r="AB177" s="985"/>
      <c r="AC177" s="985"/>
      <c r="AD177" s="985"/>
      <c r="AE177" s="985"/>
      <c r="AF177" s="985"/>
      <c r="AG177" s="985"/>
      <c r="AH177" s="985"/>
      <c r="AI177" s="1096"/>
      <c r="AJ177" s="985"/>
      <c r="AK177" s="985"/>
      <c r="AL177" s="985"/>
      <c r="AM177" s="995"/>
      <c r="AN177" s="985"/>
      <c r="AO177" s="985"/>
      <c r="AP177" s="1133"/>
      <c r="AQ177" s="172"/>
      <c r="AT177" s="217"/>
      <c r="AU177" s="218"/>
      <c r="BC177" s="216"/>
      <c r="BD177" s="216"/>
      <c r="BE177" s="216"/>
      <c r="BF177" s="199"/>
      <c r="BG177" s="199"/>
      <c r="BH177" s="199"/>
      <c r="BI177" s="199"/>
      <c r="BJ177" s="199"/>
      <c r="BK177" s="199"/>
      <c r="BL177" s="199"/>
      <c r="BM177" s="199"/>
      <c r="BN177" s="199"/>
      <c r="BO177" s="199"/>
      <c r="BP177" s="199"/>
      <c r="BQ177" s="199"/>
      <c r="BR177" s="199"/>
      <c r="BS177" s="199"/>
      <c r="BT177" s="199"/>
    </row>
    <row r="178" spans="1:72" s="14" customFormat="1" ht="15" customHeight="1">
      <c r="A178" s="927"/>
      <c r="B178" s="143"/>
      <c r="D178" s="396"/>
      <c r="E178" s="396"/>
      <c r="F178" s="396"/>
      <c r="G178" s="396"/>
      <c r="H178" s="170"/>
      <c r="I178" s="846"/>
      <c r="J178" s="849"/>
      <c r="K178" s="849"/>
      <c r="L178" s="849"/>
      <c r="M178" s="849"/>
      <c r="N178" s="849"/>
      <c r="O178" s="849"/>
      <c r="P178" s="849"/>
      <c r="Q178" s="849"/>
      <c r="R178" s="145"/>
      <c r="S178" s="849"/>
      <c r="T178" s="849"/>
      <c r="U178" s="849"/>
      <c r="V178" s="849"/>
      <c r="W178" s="849"/>
      <c r="X178" s="849"/>
      <c r="Y178" s="31"/>
      <c r="Z178" s="31"/>
      <c r="AA178" s="31"/>
      <c r="AB178" s="177"/>
      <c r="AC178" s="849"/>
      <c r="AD178" s="849"/>
      <c r="AE178" s="849"/>
      <c r="AF178" s="31"/>
      <c r="AG178" s="31"/>
      <c r="AH178" s="168"/>
      <c r="AI178" s="168"/>
      <c r="AJ178" s="72"/>
      <c r="AK178" s="147"/>
      <c r="AL178" s="31"/>
      <c r="AM178" s="31"/>
      <c r="AN178" s="1109"/>
      <c r="AO178" s="848"/>
      <c r="AP178" s="1116"/>
      <c r="AQ178" s="847"/>
      <c r="AR178" s="398"/>
      <c r="AS178" s="398"/>
      <c r="AT178" s="398"/>
      <c r="AU178" s="398"/>
      <c r="AV178" s="561"/>
      <c r="BD178" s="46"/>
      <c r="BF178" s="199"/>
      <c r="BG178" s="199"/>
      <c r="BH178" s="199"/>
      <c r="BI178" s="199"/>
      <c r="BJ178" s="199"/>
      <c r="BK178" s="199"/>
      <c r="BL178" s="199"/>
      <c r="BM178" s="199"/>
      <c r="BN178" s="199"/>
      <c r="BO178" s="199"/>
      <c r="BP178" s="199"/>
      <c r="BQ178" s="199"/>
      <c r="BR178" s="199"/>
      <c r="BS178" s="199"/>
      <c r="BT178" s="199"/>
    </row>
    <row r="179" spans="1:72" s="14" customFormat="1">
      <c r="A179" s="927"/>
      <c r="B179" s="898"/>
      <c r="C179" s="982"/>
      <c r="D179" s="979"/>
      <c r="E179" s="979"/>
      <c r="F179" s="979"/>
      <c r="G179" s="979"/>
      <c r="H179" s="979"/>
      <c r="I179" s="979"/>
      <c r="J179" s="979"/>
      <c r="K179" s="979"/>
      <c r="L179" s="979"/>
      <c r="M179" s="979"/>
      <c r="N179" s="979"/>
      <c r="O179" s="979"/>
      <c r="P179" s="979"/>
      <c r="Q179" s="979"/>
      <c r="R179" s="979"/>
      <c r="S179" s="979"/>
      <c r="T179" s="980"/>
      <c r="U179" s="980"/>
      <c r="V179" s="980"/>
      <c r="W179" s="980"/>
      <c r="X179" s="980"/>
      <c r="Y179" s="980"/>
      <c r="Z179" s="980"/>
      <c r="AA179" s="980"/>
      <c r="AB179" s="980"/>
      <c r="AC179" s="980"/>
      <c r="AD179" s="980"/>
      <c r="AE179" s="980"/>
      <c r="AF179" s="980"/>
      <c r="AG179" s="980"/>
      <c r="AH179" s="980"/>
      <c r="AI179" s="1093"/>
      <c r="AJ179" s="980"/>
      <c r="AK179" s="980"/>
      <c r="AL179" s="980"/>
      <c r="AM179" s="989"/>
      <c r="AN179" s="1109"/>
      <c r="AO179" s="882"/>
      <c r="AP179" s="1116"/>
      <c r="AQ179" s="170"/>
      <c r="AR179" s="38"/>
      <c r="AS179" s="29"/>
      <c r="AT179" s="29"/>
      <c r="AU179" s="96"/>
      <c r="BF179" s="199"/>
      <c r="BG179" s="199"/>
      <c r="BH179" s="199"/>
      <c r="BI179" s="199"/>
      <c r="BJ179" s="199"/>
      <c r="BK179" s="199"/>
      <c r="BL179" s="199"/>
      <c r="BM179" s="199"/>
      <c r="BN179" s="199"/>
      <c r="BO179" s="199"/>
      <c r="BP179" s="199"/>
      <c r="BQ179" s="199"/>
      <c r="BR179" s="199"/>
      <c r="BS179" s="199"/>
      <c r="BT179" s="199"/>
    </row>
    <row r="180" spans="1:72" s="1331" customFormat="1" ht="42" customHeight="1">
      <c r="A180" s="1343"/>
      <c r="B180" s="1566" t="s">
        <v>675</v>
      </c>
      <c r="C180" s="1559" t="s">
        <v>35</v>
      </c>
      <c r="D180" s="1690" t="s">
        <v>168</v>
      </c>
      <c r="E180" s="1792"/>
      <c r="F180" s="1792"/>
      <c r="G180" s="1792"/>
      <c r="H180" s="1792"/>
      <c r="I180" s="1793"/>
      <c r="J180" s="1788" t="s">
        <v>645</v>
      </c>
      <c r="K180" s="1789"/>
      <c r="L180" s="1790"/>
      <c r="M180" s="1790"/>
      <c r="N180" s="1790"/>
      <c r="O180" s="1790"/>
      <c r="P180" s="1791"/>
      <c r="Q180" s="1790"/>
      <c r="R180" s="1684" t="s">
        <v>882</v>
      </c>
      <c r="S180" s="1779"/>
      <c r="T180" s="1786" t="s">
        <v>664</v>
      </c>
      <c r="U180" s="1787"/>
      <c r="V180" s="1787"/>
      <c r="W180" s="1787"/>
      <c r="X180" s="1787"/>
      <c r="Y180" s="1811" t="s">
        <v>648</v>
      </c>
      <c r="Z180" s="1812"/>
      <c r="AA180" s="1276"/>
      <c r="AB180" s="1276"/>
      <c r="AC180" s="1784" t="s">
        <v>162</v>
      </c>
      <c r="AD180" s="1785"/>
      <c r="AE180" s="1785"/>
      <c r="AF180" s="1782" t="s">
        <v>883</v>
      </c>
      <c r="AG180" s="1783"/>
      <c r="AH180" s="1276"/>
      <c r="AI180" s="1277"/>
      <c r="AJ180" s="1385" t="s">
        <v>167</v>
      </c>
      <c r="AK180" s="1323"/>
      <c r="AL180" s="1323"/>
      <c r="AM180" s="1323"/>
      <c r="AN180" s="1398"/>
      <c r="AO180" s="1278"/>
      <c r="AP180" s="1330"/>
      <c r="AQ180" s="1399"/>
      <c r="AR180" s="1400"/>
      <c r="AS180" s="1401"/>
      <c r="AT180" s="1401"/>
      <c r="AU180" s="1334"/>
      <c r="AV180" s="1222"/>
      <c r="AW180" s="1222"/>
      <c r="AX180" s="1222"/>
      <c r="AY180" s="1222"/>
      <c r="AZ180" s="1222"/>
      <c r="BA180" s="1222"/>
      <c r="BB180" s="1222"/>
      <c r="BC180" s="1222"/>
      <c r="BF180" s="1632"/>
      <c r="BG180" s="1632"/>
      <c r="BH180" s="1632"/>
      <c r="BI180" s="1632"/>
      <c r="BJ180" s="1632"/>
      <c r="BK180" s="1632"/>
      <c r="BL180" s="1632"/>
      <c r="BM180" s="1632"/>
      <c r="BN180" s="1632"/>
      <c r="BO180" s="1632"/>
      <c r="BP180" s="1632"/>
      <c r="BQ180" s="1632"/>
      <c r="BR180" s="1632"/>
      <c r="BS180" s="1632"/>
      <c r="BT180" s="1632"/>
    </row>
    <row r="181" spans="1:72" s="8" customFormat="1" ht="15" customHeight="1">
      <c r="A181" s="939"/>
      <c r="B181" s="34"/>
      <c r="C181" s="506"/>
      <c r="D181" s="109">
        <v>1</v>
      </c>
      <c r="E181" s="50">
        <f>D181+1</f>
        <v>2</v>
      </c>
      <c r="F181" s="50">
        <f>E181+1</f>
        <v>3</v>
      </c>
      <c r="G181" s="50">
        <f>F181+1</f>
        <v>4</v>
      </c>
      <c r="H181" s="50">
        <f>G181+1</f>
        <v>5</v>
      </c>
      <c r="I181" s="50">
        <f>H181+1</f>
        <v>6</v>
      </c>
      <c r="J181" s="50">
        <f t="shared" ref="J181:Z181" si="364">I181+1</f>
        <v>7</v>
      </c>
      <c r="K181" s="50">
        <f>J181+1</f>
        <v>8</v>
      </c>
      <c r="L181" s="50">
        <f>K181+1</f>
        <v>9</v>
      </c>
      <c r="M181" s="50">
        <f t="shared" si="364"/>
        <v>10</v>
      </c>
      <c r="N181" s="50">
        <f t="shared" si="364"/>
        <v>11</v>
      </c>
      <c r="O181" s="50">
        <f t="shared" si="364"/>
        <v>12</v>
      </c>
      <c r="P181" s="50">
        <f t="shared" si="364"/>
        <v>13</v>
      </c>
      <c r="Q181" s="50">
        <f t="shared" si="364"/>
        <v>14</v>
      </c>
      <c r="R181" s="1005">
        <f>Q181+1</f>
        <v>15</v>
      </c>
      <c r="S181" s="1007">
        <f t="shared" si="364"/>
        <v>16</v>
      </c>
      <c r="T181" s="50">
        <f t="shared" si="364"/>
        <v>17</v>
      </c>
      <c r="U181" s="50">
        <f t="shared" si="364"/>
        <v>18</v>
      </c>
      <c r="V181" s="50">
        <f t="shared" si="364"/>
        <v>19</v>
      </c>
      <c r="W181" s="50">
        <f t="shared" si="364"/>
        <v>20</v>
      </c>
      <c r="X181" s="50">
        <f>W181+1</f>
        <v>21</v>
      </c>
      <c r="Y181" s="109">
        <f>X181+1</f>
        <v>22</v>
      </c>
      <c r="Z181" s="110">
        <f t="shared" si="364"/>
        <v>23</v>
      </c>
      <c r="AA181" s="50">
        <f t="shared" ref="AA181:AL181" si="365">Z181+1</f>
        <v>24</v>
      </c>
      <c r="AB181" s="119">
        <f t="shared" si="365"/>
        <v>25</v>
      </c>
      <c r="AC181" s="109">
        <f t="shared" si="365"/>
        <v>26</v>
      </c>
      <c r="AD181" s="50">
        <f t="shared" si="365"/>
        <v>27</v>
      </c>
      <c r="AE181" s="50">
        <f t="shared" si="365"/>
        <v>28</v>
      </c>
      <c r="AF181" s="109">
        <f t="shared" si="365"/>
        <v>29</v>
      </c>
      <c r="AG181" s="110">
        <f t="shared" si="365"/>
        <v>30</v>
      </c>
      <c r="AH181" s="50">
        <f t="shared" si="365"/>
        <v>31</v>
      </c>
      <c r="AI181" s="109">
        <f>AH181+1</f>
        <v>32</v>
      </c>
      <c r="AJ181" s="50">
        <f>AI181+1</f>
        <v>33</v>
      </c>
      <c r="AK181" s="50">
        <f t="shared" si="365"/>
        <v>34</v>
      </c>
      <c r="AL181" s="50">
        <f t="shared" si="365"/>
        <v>35</v>
      </c>
      <c r="AM181" s="50">
        <f t="shared" ref="AM181" si="366">AL181+1</f>
        <v>36</v>
      </c>
      <c r="AN181" s="110">
        <f t="shared" ref="AN181" si="367">AM181+1</f>
        <v>37</v>
      </c>
      <c r="AO181" s="50">
        <f t="shared" ref="AO181" si="368">AN181+1</f>
        <v>38</v>
      </c>
      <c r="AP181" s="1117"/>
      <c r="AQ181" s="35"/>
      <c r="AR181" s="34"/>
      <c r="AS181" s="34"/>
      <c r="AT181" s="34"/>
      <c r="AU181" s="97"/>
      <c r="AV181" s="34"/>
      <c r="BF181" s="773"/>
      <c r="BG181" s="773"/>
      <c r="BH181" s="773"/>
      <c r="BI181" s="773"/>
      <c r="BJ181" s="773"/>
      <c r="BK181" s="773"/>
      <c r="BL181" s="773"/>
      <c r="BM181" s="773"/>
      <c r="BN181" s="773"/>
      <c r="BO181" s="773"/>
      <c r="BP181" s="773"/>
      <c r="BQ181" s="773"/>
      <c r="BR181" s="773"/>
      <c r="BS181" s="773"/>
      <c r="BT181" s="773"/>
    </row>
    <row r="182" spans="1:72" ht="123" customHeight="1">
      <c r="B182" s="1149"/>
      <c r="C182" s="1397" t="s">
        <v>961</v>
      </c>
      <c r="D182" s="1234" t="s">
        <v>339</v>
      </c>
      <c r="E182" s="1235" t="s">
        <v>340</v>
      </c>
      <c r="F182" s="1270" t="s">
        <v>341</v>
      </c>
      <c r="G182" s="1240" t="s">
        <v>234</v>
      </c>
      <c r="H182" s="805" t="s">
        <v>247</v>
      </c>
      <c r="I182" s="1002" t="s">
        <v>604</v>
      </c>
      <c r="J182" s="1239" t="s">
        <v>955</v>
      </c>
      <c r="K182" s="1240" t="s">
        <v>442</v>
      </c>
      <c r="L182" s="1320" t="s">
        <v>956</v>
      </c>
      <c r="M182" s="1240" t="s">
        <v>1203</v>
      </c>
      <c r="N182" s="1240" t="s">
        <v>137</v>
      </c>
      <c r="O182" s="1240" t="s">
        <v>138</v>
      </c>
      <c r="P182" s="1240" t="s">
        <v>342</v>
      </c>
      <c r="Q182" s="1320" t="s">
        <v>415</v>
      </c>
      <c r="R182" s="602" t="s">
        <v>257</v>
      </c>
      <c r="S182" s="400" t="s">
        <v>363</v>
      </c>
      <c r="T182" s="1010" t="s">
        <v>343</v>
      </c>
      <c r="U182" s="1010" t="s">
        <v>444</v>
      </c>
      <c r="V182" s="1010" t="s">
        <v>446</v>
      </c>
      <c r="W182" s="1010" t="s">
        <v>445</v>
      </c>
      <c r="X182" s="1010" t="s">
        <v>447</v>
      </c>
      <c r="Y182" s="523" t="s">
        <v>995</v>
      </c>
      <c r="Z182" s="599" t="s">
        <v>996</v>
      </c>
      <c r="AA182" s="1010" t="s">
        <v>265</v>
      </c>
      <c r="AB182" s="1010" t="s">
        <v>266</v>
      </c>
      <c r="AC182" s="1239" t="s">
        <v>627</v>
      </c>
      <c r="AD182" s="1010" t="s">
        <v>448</v>
      </c>
      <c r="AE182" s="1010" t="s">
        <v>744</v>
      </c>
      <c r="AF182" s="605" t="s">
        <v>350</v>
      </c>
      <c r="AG182" s="600" t="s">
        <v>270</v>
      </c>
      <c r="AH182" s="1010" t="s">
        <v>271</v>
      </c>
      <c r="AI182" s="1266" t="s">
        <v>812</v>
      </c>
      <c r="AJ182" s="1267" t="s">
        <v>809</v>
      </c>
      <c r="AK182" s="1546" t="s">
        <v>14</v>
      </c>
      <c r="AL182" s="1269" t="s">
        <v>0</v>
      </c>
      <c r="AM182" s="1010" t="s">
        <v>810</v>
      </c>
      <c r="AN182" s="1002" t="s">
        <v>746</v>
      </c>
      <c r="AO182" s="266" t="s">
        <v>272</v>
      </c>
      <c r="AQ182" s="1397" t="s">
        <v>961</v>
      </c>
      <c r="AR182" s="805" t="s">
        <v>357</v>
      </c>
      <c r="AS182" s="988" t="s">
        <v>273</v>
      </c>
      <c r="AT182" s="806" t="s">
        <v>567</v>
      </c>
      <c r="AU182" s="1008" t="s">
        <v>811</v>
      </c>
      <c r="AV182" s="1008" t="s">
        <v>745</v>
      </c>
      <c r="BB182" s="19"/>
      <c r="BC182" s="17"/>
      <c r="BD182" s="44"/>
      <c r="BE182" s="1149" t="s">
        <v>822</v>
      </c>
      <c r="BF182" s="33"/>
    </row>
    <row r="183" spans="1:72" s="180" customFormat="1">
      <c r="A183" s="897">
        <f>A174+1</f>
        <v>69</v>
      </c>
      <c r="B183" s="888">
        <f>B174+1</f>
        <v>34</v>
      </c>
      <c r="C183" s="344" t="s">
        <v>958</v>
      </c>
      <c r="D183" s="607">
        <v>120</v>
      </c>
      <c r="E183" s="1237">
        <f>(2*D183)</f>
        <v>240</v>
      </c>
      <c r="F183" s="1243">
        <f>(2*125)</f>
        <v>250</v>
      </c>
      <c r="G183" s="656">
        <f>F183*1.15</f>
        <v>287.5</v>
      </c>
      <c r="H183" s="274">
        <f>(E183*0.23)</f>
        <v>55.2</v>
      </c>
      <c r="I183" s="273">
        <f>0.5*(H183*1.1)</f>
        <v>30.360000000000003</v>
      </c>
      <c r="J183" s="1335" t="s">
        <v>136</v>
      </c>
      <c r="K183" s="671">
        <v>171</v>
      </c>
      <c r="L183" s="1335" t="s">
        <v>136</v>
      </c>
      <c r="M183" s="1335" t="s">
        <v>136</v>
      </c>
      <c r="N183" s="1335" t="s">
        <v>136</v>
      </c>
      <c r="O183" s="1335" t="s">
        <v>136</v>
      </c>
      <c r="P183" s="1335" t="s">
        <v>136</v>
      </c>
      <c r="Q183" s="671">
        <f>SUM(K183:P183)</f>
        <v>171</v>
      </c>
      <c r="R183" s="402">
        <f>2*Q183</f>
        <v>342</v>
      </c>
      <c r="S183" s="690">
        <f>R183+(2*71)</f>
        <v>484</v>
      </c>
      <c r="T183" s="647">
        <v>35.65</v>
      </c>
      <c r="U183" s="740" t="s">
        <v>136</v>
      </c>
      <c r="V183" s="740" t="s">
        <v>136</v>
      </c>
      <c r="W183" s="740" t="s">
        <v>136</v>
      </c>
      <c r="X183" s="623">
        <f>SUM(T183:V183)</f>
        <v>35.65</v>
      </c>
      <c r="Y183" s="524">
        <f>2*X183</f>
        <v>71.3</v>
      </c>
      <c r="Z183" s="525">
        <f>Y183+(23)</f>
        <v>94.3</v>
      </c>
      <c r="AA183" s="623">
        <f>Z183-H183</f>
        <v>39.099999999999994</v>
      </c>
      <c r="AB183" s="653">
        <f>Z183-I183</f>
        <v>63.94</v>
      </c>
      <c r="AC183" s="1402" t="s">
        <v>136</v>
      </c>
      <c r="AD183" s="742">
        <v>0</v>
      </c>
      <c r="AE183" s="742">
        <f>X183</f>
        <v>35.65</v>
      </c>
      <c r="AF183" s="281">
        <f>2*AE183</f>
        <v>71.3</v>
      </c>
      <c r="AG183" s="323">
        <f>AF183+(23)</f>
        <v>94.3</v>
      </c>
      <c r="AH183" s="623">
        <f>AG183-I183</f>
        <v>63.94</v>
      </c>
      <c r="AI183" s="1263" t="s">
        <v>775</v>
      </c>
      <c r="AJ183" s="1262">
        <v>53</v>
      </c>
      <c r="AK183" s="1262">
        <f>(2*AJ183)+(2*71)+(2*45)</f>
        <v>338</v>
      </c>
      <c r="AL183" s="1262">
        <f>S183-AK183</f>
        <v>146</v>
      </c>
      <c r="AM183" s="1030" t="s">
        <v>758</v>
      </c>
      <c r="AN183" s="273">
        <f>275+(23)</f>
        <v>298</v>
      </c>
      <c r="AO183" s="390">
        <f>Z183-AN183</f>
        <v>-203.7</v>
      </c>
      <c r="AP183" s="1118"/>
      <c r="AQ183" s="367" t="s">
        <v>147</v>
      </c>
      <c r="AR183" s="276">
        <f>H183</f>
        <v>55.2</v>
      </c>
      <c r="AS183" s="183">
        <f>Z183</f>
        <v>94.3</v>
      </c>
      <c r="AT183" s="183">
        <f>AN183</f>
        <v>298</v>
      </c>
      <c r="AU183" s="733">
        <f t="shared" ref="AU183:AU187" si="369">S183-G183</f>
        <v>196.5</v>
      </c>
      <c r="AV183" s="460">
        <f>S183-AK183</f>
        <v>146</v>
      </c>
      <c r="BB183" s="275"/>
      <c r="BC183" s="183"/>
      <c r="BD183" s="183"/>
      <c r="BE183" s="1620">
        <f>B183</f>
        <v>34</v>
      </c>
      <c r="BF183" s="278"/>
      <c r="BG183" s="1630"/>
      <c r="BH183" s="1630"/>
      <c r="BI183" s="1630"/>
      <c r="BJ183" s="1630"/>
      <c r="BK183" s="1630"/>
      <c r="BL183" s="1630"/>
      <c r="BM183" s="1630"/>
      <c r="BN183" s="1630"/>
      <c r="BO183" s="1630"/>
      <c r="BP183" s="1630"/>
      <c r="BQ183" s="1630"/>
      <c r="BR183" s="1630"/>
      <c r="BS183" s="1630"/>
      <c r="BT183" s="1630">
        <v>1</v>
      </c>
    </row>
    <row r="184" spans="1:72" s="738" customFormat="1" ht="16" customHeight="1">
      <c r="A184" s="943">
        <f>A183+1</f>
        <v>70</v>
      </c>
      <c r="B184" s="888">
        <f>B183+1</f>
        <v>35</v>
      </c>
      <c r="C184" s="737" t="s">
        <v>441</v>
      </c>
      <c r="D184" s="738">
        <v>93</v>
      </c>
      <c r="E184" s="1237">
        <f>(2*D184)</f>
        <v>186</v>
      </c>
      <c r="F184" s="739">
        <f>2*89</f>
        <v>178</v>
      </c>
      <c r="G184" s="656">
        <f>F184*1.15</f>
        <v>204.7</v>
      </c>
      <c r="H184" s="274">
        <f>(E184*0.23)</f>
        <v>42.78</v>
      </c>
      <c r="I184" s="273">
        <f>0.5*(H184*1.1)</f>
        <v>23.529000000000003</v>
      </c>
      <c r="J184" s="1335" t="s">
        <v>136</v>
      </c>
      <c r="K184" s="671">
        <v>125</v>
      </c>
      <c r="L184" s="1335" t="s">
        <v>136</v>
      </c>
      <c r="M184" s="1335" t="s">
        <v>136</v>
      </c>
      <c r="N184" s="1335" t="s">
        <v>136</v>
      </c>
      <c r="O184" s="1335" t="s">
        <v>136</v>
      </c>
      <c r="P184" s="1335" t="s">
        <v>136</v>
      </c>
      <c r="Q184" s="671">
        <f>SUM(K184:P184)</f>
        <v>125</v>
      </c>
      <c r="R184" s="402">
        <f>2*Q184</f>
        <v>250</v>
      </c>
      <c r="S184" s="690">
        <f>R184+(2*71)</f>
        <v>392</v>
      </c>
      <c r="T184" s="647">
        <v>30.45</v>
      </c>
      <c r="U184" s="740" t="s">
        <v>136</v>
      </c>
      <c r="V184" s="740" t="s">
        <v>136</v>
      </c>
      <c r="W184" s="740" t="s">
        <v>136</v>
      </c>
      <c r="X184" s="623">
        <f>SUM(T184:V184)</f>
        <v>30.45</v>
      </c>
      <c r="Y184" s="524">
        <f>2*X184</f>
        <v>60.9</v>
      </c>
      <c r="Z184" s="525">
        <f>Y184+(23)</f>
        <v>83.9</v>
      </c>
      <c r="AA184" s="623">
        <f>Z184-H184</f>
        <v>41.120000000000005</v>
      </c>
      <c r="AB184" s="653">
        <f>Z184-I184</f>
        <v>60.371000000000002</v>
      </c>
      <c r="AC184" s="1402" t="s">
        <v>136</v>
      </c>
      <c r="AD184" s="742">
        <v>0</v>
      </c>
      <c r="AE184" s="742">
        <f t="shared" ref="AE184:AE187" si="370">X184</f>
        <v>30.45</v>
      </c>
      <c r="AF184" s="281">
        <f>2*AE184</f>
        <v>60.9</v>
      </c>
      <c r="AG184" s="323">
        <f>AF184+(23)</f>
        <v>83.9</v>
      </c>
      <c r="AH184" s="623">
        <f t="shared" ref="AH184:AH187" si="371">AG184-I184</f>
        <v>60.371000000000002</v>
      </c>
      <c r="AI184" s="1263" t="s">
        <v>775</v>
      </c>
      <c r="AJ184" s="1262">
        <v>53</v>
      </c>
      <c r="AK184" s="1262">
        <f>(2*AJ184)+(2*71)+(2*45)</f>
        <v>338</v>
      </c>
      <c r="AL184" s="673">
        <f>S184-AK184</f>
        <v>54</v>
      </c>
      <c r="AM184" s="623">
        <v>15</v>
      </c>
      <c r="AN184" s="273">
        <f>275+(23)+AM184</f>
        <v>313</v>
      </c>
      <c r="AO184" s="391">
        <f>Z184-AN184</f>
        <v>-229.1</v>
      </c>
      <c r="AP184" s="1134"/>
      <c r="AQ184" s="342" t="s">
        <v>449</v>
      </c>
      <c r="AR184" s="276">
        <f>H184</f>
        <v>42.78</v>
      </c>
      <c r="AS184" s="276">
        <f>Z184</f>
        <v>83.9</v>
      </c>
      <c r="AT184" s="183">
        <f>AN184</f>
        <v>313</v>
      </c>
      <c r="AU184" s="733">
        <f t="shared" si="369"/>
        <v>187.3</v>
      </c>
      <c r="AV184" s="460">
        <f>S184-AK184</f>
        <v>54</v>
      </c>
      <c r="BE184" s="1620">
        <f t="shared" ref="BE184:BE187" si="372">B184</f>
        <v>35</v>
      </c>
      <c r="BT184" s="1630">
        <v>1</v>
      </c>
    </row>
    <row r="185" spans="1:72" s="298" customFormat="1">
      <c r="A185" s="896">
        <f>A184+1</f>
        <v>71</v>
      </c>
      <c r="B185" s="888">
        <f t="shared" ref="B185:B187" si="373">B184+1</f>
        <v>36</v>
      </c>
      <c r="C185" s="737" t="s">
        <v>440</v>
      </c>
      <c r="D185" s="607">
        <v>106</v>
      </c>
      <c r="E185" s="656">
        <f>(2*D185)</f>
        <v>212</v>
      </c>
      <c r="F185" s="862">
        <f>2*101</f>
        <v>202</v>
      </c>
      <c r="G185" s="656">
        <f>F185*1.15</f>
        <v>232.29999999999998</v>
      </c>
      <c r="H185" s="274">
        <f>(E185*0.23)</f>
        <v>48.760000000000005</v>
      </c>
      <c r="I185" s="273">
        <f>0.5*(H185*1.1)</f>
        <v>26.818000000000005</v>
      </c>
      <c r="J185" s="1335" t="s">
        <v>136</v>
      </c>
      <c r="K185" s="671">
        <v>125</v>
      </c>
      <c r="L185" s="1335">
        <v>30</v>
      </c>
      <c r="M185" s="1335">
        <v>22</v>
      </c>
      <c r="N185" s="1335" t="s">
        <v>136</v>
      </c>
      <c r="O185" s="1335" t="s">
        <v>136</v>
      </c>
      <c r="P185" s="1335" t="s">
        <v>136</v>
      </c>
      <c r="Q185" s="671">
        <f>SUM(K185:P185)</f>
        <v>177</v>
      </c>
      <c r="R185" s="402">
        <f>2*Q185</f>
        <v>354</v>
      </c>
      <c r="S185" s="690">
        <f>R185+(2*71)</f>
        <v>496</v>
      </c>
      <c r="T185" s="647">
        <v>30.45</v>
      </c>
      <c r="U185" s="1602">
        <v>6</v>
      </c>
      <c r="V185" s="741" t="s">
        <v>136</v>
      </c>
      <c r="W185" s="741" t="s">
        <v>136</v>
      </c>
      <c r="X185" s="624">
        <f>SUM(T185:V185)</f>
        <v>36.450000000000003</v>
      </c>
      <c r="Y185" s="524">
        <f>2*X185</f>
        <v>72.900000000000006</v>
      </c>
      <c r="Z185" s="525">
        <f>Y185+(23)</f>
        <v>95.9</v>
      </c>
      <c r="AA185" s="624">
        <f>Z185-H185</f>
        <v>47.14</v>
      </c>
      <c r="AB185" s="653">
        <f>Z185-I185</f>
        <v>69.081999999999994</v>
      </c>
      <c r="AC185" s="1402" t="s">
        <v>136</v>
      </c>
      <c r="AD185" s="742">
        <v>0</v>
      </c>
      <c r="AE185" s="742">
        <f t="shared" si="370"/>
        <v>36.450000000000003</v>
      </c>
      <c r="AF185" s="281">
        <f>2*AE185</f>
        <v>72.900000000000006</v>
      </c>
      <c r="AG185" s="323">
        <f>AF185+(23)</f>
        <v>95.9</v>
      </c>
      <c r="AH185" s="623">
        <f t="shared" si="371"/>
        <v>69.081999999999994</v>
      </c>
      <c r="AI185" s="1263" t="s">
        <v>775</v>
      </c>
      <c r="AJ185" s="1262">
        <v>53</v>
      </c>
      <c r="AK185" s="1262">
        <f>(2*AJ185)+(2*71)+(2*45)</f>
        <v>338</v>
      </c>
      <c r="AL185" s="673">
        <f>S185-AK185</f>
        <v>158</v>
      </c>
      <c r="AM185" s="623">
        <v>15</v>
      </c>
      <c r="AN185" s="273">
        <f t="shared" ref="AN185:AN187" si="374">275+(23)+AM185</f>
        <v>313</v>
      </c>
      <c r="AO185" s="391">
        <f>Z185-AN185</f>
        <v>-217.1</v>
      </c>
      <c r="AP185" s="1118"/>
      <c r="AQ185" s="342" t="s">
        <v>450</v>
      </c>
      <c r="AR185" s="276">
        <f>H185</f>
        <v>48.760000000000005</v>
      </c>
      <c r="AS185" s="276">
        <f>Z185</f>
        <v>95.9</v>
      </c>
      <c r="AT185" s="183">
        <f>AN185</f>
        <v>313</v>
      </c>
      <c r="AU185" s="733">
        <f t="shared" si="369"/>
        <v>263.70000000000005</v>
      </c>
      <c r="AV185" s="460">
        <f>S185-AK185</f>
        <v>158</v>
      </c>
      <c r="BB185" s="270"/>
      <c r="BC185" s="276"/>
      <c r="BD185" s="276"/>
      <c r="BE185" s="1620">
        <f t="shared" si="372"/>
        <v>36</v>
      </c>
      <c r="BF185" s="317"/>
      <c r="BG185" s="299"/>
      <c r="BH185" s="299"/>
      <c r="BI185" s="299"/>
      <c r="BJ185" s="299"/>
      <c r="BK185" s="299"/>
      <c r="BL185" s="299"/>
      <c r="BM185" s="299"/>
      <c r="BN185" s="299"/>
      <c r="BO185" s="299"/>
      <c r="BP185" s="299"/>
      <c r="BQ185" s="299"/>
      <c r="BR185" s="299"/>
      <c r="BS185" s="299"/>
      <c r="BT185" s="1630">
        <v>1</v>
      </c>
    </row>
    <row r="186" spans="1:72" s="180" customFormat="1">
      <c r="A186" s="896">
        <f>A185+1</f>
        <v>72</v>
      </c>
      <c r="B186" s="888">
        <f t="shared" si="373"/>
        <v>37</v>
      </c>
      <c r="C186" s="344" t="s">
        <v>957</v>
      </c>
      <c r="D186" s="607">
        <v>134</v>
      </c>
      <c r="E186" s="1237">
        <f>(2*D186)</f>
        <v>268</v>
      </c>
      <c r="F186" s="1243">
        <f>(2*145)</f>
        <v>290</v>
      </c>
      <c r="G186" s="656">
        <f>F186*1.15</f>
        <v>333.5</v>
      </c>
      <c r="H186" s="274">
        <f t="shared" ref="H186:H187" si="375">(E186*0.23)</f>
        <v>61.64</v>
      </c>
      <c r="I186" s="273">
        <f>0.5*(H186*1.1)</f>
        <v>33.902000000000001</v>
      </c>
      <c r="J186" s="1335" t="s">
        <v>136</v>
      </c>
      <c r="K186" s="671">
        <v>171</v>
      </c>
      <c r="L186" s="1335">
        <v>30</v>
      </c>
      <c r="M186" s="1335">
        <v>18</v>
      </c>
      <c r="N186" s="1335" t="s">
        <v>136</v>
      </c>
      <c r="O186" s="1335" t="s">
        <v>136</v>
      </c>
      <c r="P186" s="1335" t="s">
        <v>136</v>
      </c>
      <c r="Q186" s="671">
        <f>SUM(K186:N186)</f>
        <v>219</v>
      </c>
      <c r="R186" s="402">
        <f>2*Q186</f>
        <v>438</v>
      </c>
      <c r="S186" s="690">
        <f>R186+(2*71)</f>
        <v>580</v>
      </c>
      <c r="T186" s="647">
        <v>35.65</v>
      </c>
      <c r="U186" s="740" t="s">
        <v>136</v>
      </c>
      <c r="V186" s="740" t="s">
        <v>136</v>
      </c>
      <c r="W186" s="740" t="s">
        <v>136</v>
      </c>
      <c r="X186" s="623">
        <f>SUM(T186:V186)</f>
        <v>35.65</v>
      </c>
      <c r="Y186" s="524">
        <f>2*X186</f>
        <v>71.3</v>
      </c>
      <c r="Z186" s="525">
        <f>Y186+(23)</f>
        <v>94.3</v>
      </c>
      <c r="AA186" s="623">
        <f>Z186-H186</f>
        <v>32.659999999999997</v>
      </c>
      <c r="AB186" s="653">
        <f>Z186-I186</f>
        <v>60.397999999999996</v>
      </c>
      <c r="AC186" s="1402" t="s">
        <v>136</v>
      </c>
      <c r="AD186" s="742">
        <v>0</v>
      </c>
      <c r="AE186" s="742">
        <f t="shared" si="370"/>
        <v>35.65</v>
      </c>
      <c r="AF186" s="281">
        <f>2*AE186</f>
        <v>71.3</v>
      </c>
      <c r="AG186" s="323">
        <f>AF186+(23)</f>
        <v>94.3</v>
      </c>
      <c r="AH186" s="623">
        <f t="shared" si="371"/>
        <v>60.397999999999996</v>
      </c>
      <c r="AI186" s="1263" t="s">
        <v>775</v>
      </c>
      <c r="AJ186" s="1262">
        <v>53</v>
      </c>
      <c r="AK186" s="1262">
        <f>(2*AJ186)+(2*71)+(2*45)</f>
        <v>338</v>
      </c>
      <c r="AL186" s="1262">
        <f>S186-AK186</f>
        <v>242</v>
      </c>
      <c r="AM186" s="623">
        <v>15</v>
      </c>
      <c r="AN186" s="273">
        <f t="shared" si="374"/>
        <v>313</v>
      </c>
      <c r="AO186" s="274">
        <f>Z186-AN186</f>
        <v>-218.7</v>
      </c>
      <c r="AP186" s="1118"/>
      <c r="AQ186" s="367" t="s">
        <v>17</v>
      </c>
      <c r="AR186" s="276">
        <f>H186</f>
        <v>61.64</v>
      </c>
      <c r="AS186" s="276">
        <f>Z186</f>
        <v>94.3</v>
      </c>
      <c r="AT186" s="183">
        <f>AN186</f>
        <v>313</v>
      </c>
      <c r="AU186" s="1605">
        <f t="shared" si="369"/>
        <v>246.5</v>
      </c>
      <c r="AV186" s="1605">
        <f>S186-AK186</f>
        <v>242</v>
      </c>
      <c r="BB186" s="275"/>
      <c r="BC186" s="183"/>
      <c r="BD186" s="183"/>
      <c r="BE186" s="1620">
        <f t="shared" si="372"/>
        <v>37</v>
      </c>
      <c r="BF186" s="278"/>
      <c r="BG186" s="1630"/>
      <c r="BH186" s="1630"/>
      <c r="BI186" s="1630"/>
      <c r="BJ186" s="1630"/>
      <c r="BK186" s="1630"/>
      <c r="BL186" s="1630"/>
      <c r="BM186" s="1630"/>
      <c r="BN186" s="1630"/>
      <c r="BO186" s="1630"/>
      <c r="BP186" s="1630"/>
      <c r="BQ186" s="1630"/>
      <c r="BR186" s="1630"/>
      <c r="BS186" s="1630"/>
      <c r="BT186" s="1630">
        <v>1</v>
      </c>
    </row>
    <row r="187" spans="1:72" s="180" customFormat="1">
      <c r="A187" s="896">
        <f>A186+1</f>
        <v>73</v>
      </c>
      <c r="B187" s="888">
        <f t="shared" si="373"/>
        <v>38</v>
      </c>
      <c r="C187" s="344" t="s">
        <v>605</v>
      </c>
      <c r="D187" s="607">
        <v>168</v>
      </c>
      <c r="E187" s="1237">
        <f>(2*D187)</f>
        <v>336</v>
      </c>
      <c r="F187" s="739">
        <f>(2*184)</f>
        <v>368</v>
      </c>
      <c r="G187" s="656">
        <f>F187*1.15</f>
        <v>423.2</v>
      </c>
      <c r="H187" s="274">
        <f t="shared" si="375"/>
        <v>77.28</v>
      </c>
      <c r="I187" s="273">
        <f>0.5*(H187*1.1)</f>
        <v>42.504000000000005</v>
      </c>
      <c r="J187" s="1335" t="s">
        <v>136</v>
      </c>
      <c r="K187" s="671">
        <v>171</v>
      </c>
      <c r="L187" s="1335">
        <v>30</v>
      </c>
      <c r="M187" s="1335">
        <v>45</v>
      </c>
      <c r="N187" s="1335" t="s">
        <v>136</v>
      </c>
      <c r="O187" s="1335" t="s">
        <v>136</v>
      </c>
      <c r="P187" s="1335" t="s">
        <v>136</v>
      </c>
      <c r="Q187" s="671">
        <f>SUM(K187:N187)</f>
        <v>246</v>
      </c>
      <c r="R187" s="402">
        <f>2*Q187</f>
        <v>492</v>
      </c>
      <c r="S187" s="690">
        <f>R187+(2*71)</f>
        <v>634</v>
      </c>
      <c r="T187" s="647">
        <v>35.65</v>
      </c>
      <c r="U187" s="740" t="s">
        <v>136</v>
      </c>
      <c r="V187" s="740" t="s">
        <v>136</v>
      </c>
      <c r="W187" s="740" t="s">
        <v>136</v>
      </c>
      <c r="X187" s="623">
        <f>SUM(T187:V187)</f>
        <v>35.65</v>
      </c>
      <c r="Y187" s="524">
        <f>2*X187</f>
        <v>71.3</v>
      </c>
      <c r="Z187" s="525">
        <f>Y187+(23)</f>
        <v>94.3</v>
      </c>
      <c r="AA187" s="623">
        <f>Z187-H187</f>
        <v>17.019999999999996</v>
      </c>
      <c r="AB187" s="653">
        <f>Z187-I187</f>
        <v>51.795999999999992</v>
      </c>
      <c r="AC187" s="1402" t="s">
        <v>136</v>
      </c>
      <c r="AD187" s="742">
        <v>0</v>
      </c>
      <c r="AE187" s="742">
        <f t="shared" si="370"/>
        <v>35.65</v>
      </c>
      <c r="AF187" s="281">
        <f>2*AE187</f>
        <v>71.3</v>
      </c>
      <c r="AG187" s="323">
        <f>AF187+(23)</f>
        <v>94.3</v>
      </c>
      <c r="AH187" s="623">
        <f t="shared" si="371"/>
        <v>51.795999999999992</v>
      </c>
      <c r="AI187" s="1263" t="s">
        <v>775</v>
      </c>
      <c r="AJ187" s="1262">
        <v>53</v>
      </c>
      <c r="AK187" s="1262">
        <f>(2*AJ187)+(2*71)+(2*45)</f>
        <v>338</v>
      </c>
      <c r="AL187" s="1262">
        <f>S187-AK187</f>
        <v>296</v>
      </c>
      <c r="AM187" s="623">
        <v>31</v>
      </c>
      <c r="AN187" s="273">
        <f t="shared" si="374"/>
        <v>329</v>
      </c>
      <c r="AO187" s="274">
        <f>Z187-AN187</f>
        <v>-234.7</v>
      </c>
      <c r="AP187" s="1118"/>
      <c r="AQ187" s="367" t="s">
        <v>18</v>
      </c>
      <c r="AR187" s="276">
        <f>H187</f>
        <v>77.28</v>
      </c>
      <c r="AS187" s="276">
        <f>Z187</f>
        <v>94.3</v>
      </c>
      <c r="AT187" s="183">
        <f>AN187</f>
        <v>329</v>
      </c>
      <c r="AU187" s="1605">
        <f t="shared" si="369"/>
        <v>210.8</v>
      </c>
      <c r="AV187" s="1605">
        <f>S187-AK187</f>
        <v>296</v>
      </c>
      <c r="BB187" s="275"/>
      <c r="BC187" s="183"/>
      <c r="BD187" s="183"/>
      <c r="BE187" s="1620">
        <f t="shared" si="372"/>
        <v>38</v>
      </c>
      <c r="BF187" s="278"/>
      <c r="BG187" s="1630"/>
      <c r="BH187" s="1630"/>
      <c r="BI187" s="1630"/>
      <c r="BJ187" s="1630"/>
      <c r="BK187" s="1630"/>
      <c r="BL187" s="1630"/>
      <c r="BM187" s="1630"/>
      <c r="BN187" s="1630"/>
      <c r="BO187" s="1630"/>
      <c r="BP187" s="1630"/>
      <c r="BQ187" s="1630"/>
      <c r="BR187" s="1630"/>
      <c r="BS187" s="1630"/>
      <c r="BT187" s="1630">
        <v>1</v>
      </c>
    </row>
    <row r="188" spans="1:72" ht="253.25" customHeight="1">
      <c r="C188" s="1311" t="s">
        <v>953</v>
      </c>
      <c r="D188" s="1817" t="s">
        <v>954</v>
      </c>
      <c r="E188" s="1688"/>
      <c r="F188" s="1326" t="s">
        <v>903</v>
      </c>
      <c r="G188" s="1328" t="s">
        <v>904</v>
      </c>
      <c r="H188" s="1238" t="s">
        <v>345</v>
      </c>
      <c r="I188" s="1003"/>
      <c r="J188" s="1358" t="s">
        <v>139</v>
      </c>
      <c r="K188" s="1004" t="s">
        <v>1206</v>
      </c>
      <c r="L188" s="1322" t="s">
        <v>212</v>
      </c>
      <c r="M188" s="1322" t="s">
        <v>443</v>
      </c>
      <c r="N188" s="172"/>
      <c r="O188" s="399"/>
      <c r="P188" s="172"/>
      <c r="Q188" s="172"/>
      <c r="R188" s="612"/>
      <c r="S188" s="1338" t="s">
        <v>983</v>
      </c>
      <c r="T188" s="1496" t="s">
        <v>1200</v>
      </c>
      <c r="U188" s="399" t="s">
        <v>1201</v>
      </c>
      <c r="V188" s="208"/>
      <c r="W188" s="52"/>
      <c r="X188" s="52"/>
      <c r="Y188" s="519"/>
      <c r="Z188" s="1350" t="s">
        <v>976</v>
      </c>
      <c r="AA188" s="70"/>
      <c r="AB188" s="1260" t="s">
        <v>349</v>
      </c>
      <c r="AC188" s="1327" t="s">
        <v>960</v>
      </c>
      <c r="AD188" s="64"/>
      <c r="AE188" s="64"/>
      <c r="AF188" s="117"/>
      <c r="AG188" s="1350" t="s">
        <v>976</v>
      </c>
      <c r="AH188" s="1101"/>
      <c r="AI188" s="1115"/>
      <c r="AJ188" s="1545" t="s">
        <v>1153</v>
      </c>
      <c r="AK188" s="399"/>
      <c r="AL188" s="1596" t="s">
        <v>1199</v>
      </c>
      <c r="AM188" s="47"/>
      <c r="AN188" s="1324" t="s">
        <v>885</v>
      </c>
      <c r="AO188" s="73"/>
      <c r="AQ188" s="1311" t="s">
        <v>953</v>
      </c>
      <c r="AR188" s="798"/>
      <c r="AS188" s="798"/>
      <c r="AT188" s="798"/>
      <c r="AU188" s="798"/>
      <c r="AV188" s="1098"/>
    </row>
    <row r="189" spans="1:72" ht="15" customHeight="1">
      <c r="C189" s="1311"/>
      <c r="D189" s="59"/>
      <c r="E189" s="1613"/>
      <c r="F189" s="1326"/>
      <c r="G189" s="1328"/>
      <c r="H189" s="1619"/>
      <c r="I189" s="1615"/>
      <c r="J189" s="1426"/>
      <c r="K189" s="1496"/>
      <c r="L189" s="1614"/>
      <c r="M189" s="1614"/>
      <c r="N189" s="172"/>
      <c r="O189" s="1616"/>
      <c r="P189" s="172"/>
      <c r="Q189" s="172"/>
      <c r="R189" s="1315"/>
      <c r="S189" s="601"/>
      <c r="T189" s="1496"/>
      <c r="U189" s="1616"/>
      <c r="V189" s="208"/>
      <c r="W189" s="52"/>
      <c r="X189" s="52"/>
      <c r="Y189" s="1644"/>
      <c r="Z189" s="1350"/>
      <c r="AA189" s="70"/>
      <c r="AB189" s="1618"/>
      <c r="AC189" s="1617"/>
      <c r="AD189" s="64"/>
      <c r="AE189" s="64"/>
      <c r="AF189" s="47"/>
      <c r="AG189" s="1350"/>
      <c r="AH189" s="1101"/>
      <c r="AI189" s="1101"/>
      <c r="AJ189" s="1545"/>
      <c r="AK189" s="1616"/>
      <c r="AL189" s="1618"/>
      <c r="AM189" s="47"/>
      <c r="AN189" s="994"/>
      <c r="AO189" s="994"/>
      <c r="AQ189" s="1311"/>
      <c r="AR189" s="798"/>
      <c r="AS189" s="798"/>
      <c r="AT189" s="798"/>
      <c r="AU189" s="798"/>
      <c r="AV189" s="1098"/>
      <c r="BF189" s="928" t="s">
        <v>1225</v>
      </c>
      <c r="BG189" s="1902" t="s">
        <v>1220</v>
      </c>
      <c r="BH189" s="1903"/>
      <c r="BI189" s="928"/>
      <c r="BJ189" s="1904" t="s">
        <v>1221</v>
      </c>
      <c r="BK189" s="1905"/>
      <c r="BL189" s="928"/>
      <c r="BM189" s="1902" t="s">
        <v>1222</v>
      </c>
      <c r="BN189" s="1903"/>
      <c r="BO189" s="928"/>
      <c r="BP189" s="1902" t="s">
        <v>1223</v>
      </c>
      <c r="BQ189" s="1903"/>
      <c r="BR189" s="928"/>
      <c r="BS189" s="1902" t="s">
        <v>1224</v>
      </c>
      <c r="BT189" s="1903"/>
    </row>
    <row r="190" spans="1:72" ht="34.75" customHeight="1">
      <c r="C190" s="1311"/>
      <c r="D190" s="59"/>
      <c r="E190" s="1613"/>
      <c r="F190" s="1326"/>
      <c r="G190" s="1328"/>
      <c r="H190" s="1619"/>
      <c r="I190" s="1615"/>
      <c r="J190" s="1426"/>
      <c r="K190" s="1496"/>
      <c r="L190" s="1614"/>
      <c r="M190" s="1614"/>
      <c r="N190" s="172"/>
      <c r="O190" s="1616"/>
      <c r="P190" s="172"/>
      <c r="Q190" s="172"/>
      <c r="R190" s="1315"/>
      <c r="S190" s="601"/>
      <c r="T190" s="1496"/>
      <c r="U190" s="1616"/>
      <c r="V190" s="208"/>
      <c r="W190" s="52"/>
      <c r="X190" s="52"/>
      <c r="Y190" s="1644"/>
      <c r="Z190" s="1350"/>
      <c r="AA190" s="70"/>
      <c r="AB190" s="1618"/>
      <c r="AC190" s="1617"/>
      <c r="AD190" s="64"/>
      <c r="AE190" s="64"/>
      <c r="AF190" s="47"/>
      <c r="AG190" s="1350"/>
      <c r="AH190" s="1101"/>
      <c r="AI190" s="1101"/>
      <c r="AJ190" s="1545"/>
      <c r="AK190" s="1616"/>
      <c r="AL190" s="1618"/>
      <c r="AM190" s="47"/>
      <c r="AN190" s="994"/>
      <c r="AO190" s="994"/>
      <c r="AQ190" s="1311"/>
      <c r="AR190" s="798"/>
      <c r="AS190" s="798"/>
      <c r="AT190" s="798"/>
      <c r="AU190" s="798"/>
      <c r="AV190" s="1098"/>
      <c r="BF190" s="1658" t="s">
        <v>1226</v>
      </c>
      <c r="BG190" s="1639" t="s">
        <v>1218</v>
      </c>
      <c r="BH190" s="1640" t="s">
        <v>1219</v>
      </c>
      <c r="BI190" s="1637"/>
      <c r="BJ190" s="1639" t="s">
        <v>1218</v>
      </c>
      <c r="BK190" s="1641" t="s">
        <v>1219</v>
      </c>
      <c r="BL190" s="1637"/>
      <c r="BM190" s="1639" t="s">
        <v>1218</v>
      </c>
      <c r="BN190" s="1641" t="s">
        <v>1219</v>
      </c>
      <c r="BO190" s="1637"/>
      <c r="BP190" s="1639" t="s">
        <v>1218</v>
      </c>
      <c r="BQ190" s="1641" t="s">
        <v>1219</v>
      </c>
      <c r="BR190" s="1637"/>
      <c r="BS190" s="1639" t="s">
        <v>1218</v>
      </c>
      <c r="BT190" s="1641" t="s">
        <v>1219</v>
      </c>
    </row>
    <row r="191" spans="1:72" s="296" customFormat="1" ht="15" customHeight="1">
      <c r="A191" s="940"/>
      <c r="B191" s="179"/>
      <c r="C191" s="1642"/>
      <c r="H191" s="283"/>
      <c r="I191" s="284"/>
      <c r="J191" s="285"/>
      <c r="K191" s="285"/>
      <c r="L191" s="285"/>
      <c r="M191" s="285"/>
      <c r="N191" s="285"/>
      <c r="O191" s="285"/>
      <c r="P191" s="285"/>
      <c r="Q191" s="285"/>
      <c r="R191" s="286"/>
      <c r="S191" s="287"/>
      <c r="T191" s="287"/>
      <c r="U191" s="287"/>
      <c r="V191" s="287"/>
      <c r="W191" s="287"/>
      <c r="X191" s="287"/>
      <c r="Y191" s="288"/>
      <c r="Z191" s="267"/>
      <c r="AA191" s="289"/>
      <c r="AB191" s="290"/>
      <c r="AC191" s="291"/>
      <c r="AD191" s="433"/>
      <c r="AE191" s="291"/>
      <c r="AF191" s="267"/>
      <c r="AG191" s="267"/>
      <c r="AH191" s="289"/>
      <c r="AI191" s="289"/>
      <c r="AJ191" s="292"/>
      <c r="AK191" s="293"/>
      <c r="AL191" s="267"/>
      <c r="AM191" s="267"/>
      <c r="AN191" s="294"/>
      <c r="AO191" s="294"/>
      <c r="AP191" s="1120"/>
      <c r="AQ191" s="295"/>
      <c r="AU191" s="297"/>
      <c r="AV191" s="1607" t="s">
        <v>105</v>
      </c>
      <c r="BD191" s="1643" t="s">
        <v>1227</v>
      </c>
      <c r="BF191" s="1659"/>
      <c r="BG191" s="1659"/>
      <c r="BH191" s="1659"/>
      <c r="BI191" s="1659"/>
      <c r="BJ191" s="1659"/>
      <c r="BK191" s="1659"/>
      <c r="BL191" s="1659"/>
      <c r="BM191" s="1659"/>
      <c r="BN191" s="1659"/>
      <c r="BO191" s="1659"/>
      <c r="BP191" s="1659"/>
      <c r="BQ191" s="1659"/>
      <c r="BR191" s="1659"/>
      <c r="BS191" s="1659"/>
      <c r="BT191" s="1659"/>
    </row>
    <row r="192" spans="1:72" s="14" customFormat="1" ht="15" customHeight="1">
      <c r="A192" s="927"/>
      <c r="B192" s="143"/>
      <c r="C192" s="1633"/>
      <c r="D192" s="12"/>
      <c r="E192" s="59"/>
      <c r="F192" s="60"/>
      <c r="G192" s="60"/>
      <c r="H192" s="167"/>
      <c r="I192" s="172"/>
      <c r="J192" s="172"/>
      <c r="K192" s="172"/>
      <c r="L192" s="172"/>
      <c r="M192" s="172"/>
      <c r="N192" s="172"/>
      <c r="O192" s="172"/>
      <c r="P192" s="172"/>
      <c r="Q192" s="172"/>
      <c r="R192" s="148"/>
      <c r="S192" s="52"/>
      <c r="T192" s="52"/>
      <c r="U192" s="52"/>
      <c r="V192" s="52"/>
      <c r="W192" s="52"/>
      <c r="X192" s="52"/>
      <c r="Y192" s="173"/>
      <c r="Z192" s="31"/>
      <c r="AA192" s="174"/>
      <c r="AB192" s="100"/>
      <c r="AC192" s="175"/>
      <c r="AD192" s="175"/>
      <c r="AE192" s="175"/>
      <c r="AF192" s="31"/>
      <c r="AG192" s="31"/>
      <c r="AH192" s="174"/>
      <c r="AI192" s="1094"/>
      <c r="AJ192" s="72"/>
      <c r="AK192" s="72"/>
      <c r="AL192" s="31"/>
      <c r="AM192" s="31"/>
      <c r="AN192" s="986"/>
      <c r="AO192" s="73"/>
      <c r="AP192" s="1116"/>
      <c r="AQ192" s="176"/>
      <c r="AU192" s="96"/>
      <c r="AW192" s="509" t="s">
        <v>105</v>
      </c>
      <c r="BE192" s="1633" t="s">
        <v>1213</v>
      </c>
      <c r="BF192" s="199"/>
      <c r="BG192" s="1660">
        <f>SUM(BG5:BG187)</f>
        <v>20</v>
      </c>
      <c r="BH192" s="1145">
        <f>SUM(BH5:BH187)</f>
        <v>9</v>
      </c>
      <c r="BI192" s="199"/>
      <c r="BJ192" s="1660">
        <f>SUM(BJ5:BJ187)</f>
        <v>14</v>
      </c>
      <c r="BK192" s="1145">
        <f>SUM(BK5:BK187)</f>
        <v>16</v>
      </c>
      <c r="BL192" s="199"/>
      <c r="BM192" s="1660">
        <f>SUM(BM5:BM187)</f>
        <v>0</v>
      </c>
      <c r="BN192" s="1145">
        <f>SUM(BN5:BN187)</f>
        <v>5</v>
      </c>
      <c r="BO192" s="199"/>
      <c r="BP192" s="1660">
        <f>SUM(BP5:BP187)</f>
        <v>1</v>
      </c>
      <c r="BQ192" s="1145">
        <f>SUM(BQ5:BQ187)</f>
        <v>3</v>
      </c>
      <c r="BR192" s="199"/>
      <c r="BS192" s="1660">
        <f>SUM(BS5:BS187)</f>
        <v>0</v>
      </c>
      <c r="BT192" s="1145">
        <f>SUM(BT5:BT187)</f>
        <v>5</v>
      </c>
    </row>
    <row r="193" spans="1:72" s="14" customFormat="1" ht="15" customHeight="1">
      <c r="A193" s="927"/>
      <c r="B193" s="143"/>
      <c r="C193" s="1633"/>
      <c r="D193" s="12"/>
      <c r="E193" s="59"/>
      <c r="F193" s="60"/>
      <c r="G193" s="60"/>
      <c r="H193" s="167"/>
      <c r="I193" s="172"/>
      <c r="J193" s="172"/>
      <c r="K193" s="172"/>
      <c r="L193" s="172"/>
      <c r="M193" s="172"/>
      <c r="N193" s="172"/>
      <c r="O193" s="172"/>
      <c r="P193" s="172"/>
      <c r="Q193" s="172"/>
      <c r="R193" s="148"/>
      <c r="S193" s="52"/>
      <c r="T193" s="52"/>
      <c r="U193" s="52"/>
      <c r="V193" s="52"/>
      <c r="W193" s="52"/>
      <c r="X193" s="52"/>
      <c r="Y193" s="173"/>
      <c r="Z193" s="31"/>
      <c r="AA193" s="1094"/>
      <c r="AB193" s="100"/>
      <c r="AC193" s="175"/>
      <c r="AD193" s="175"/>
      <c r="AE193" s="175"/>
      <c r="AF193" s="31"/>
      <c r="AG193" s="31"/>
      <c r="AH193" s="1094"/>
      <c r="AI193" s="1094"/>
      <c r="AJ193" s="72"/>
      <c r="AK193" s="72"/>
      <c r="AL193" s="31"/>
      <c r="AM193" s="31"/>
      <c r="AN193" s="994"/>
      <c r="AO193" s="994"/>
      <c r="AP193" s="1116"/>
      <c r="AQ193" s="176"/>
      <c r="AU193" s="96"/>
      <c r="AW193" s="509"/>
      <c r="BE193" s="1633"/>
      <c r="BF193" s="199"/>
      <c r="BG193" s="199"/>
      <c r="BH193" s="199"/>
      <c r="BI193" s="199"/>
      <c r="BJ193" s="199"/>
      <c r="BK193" s="199"/>
      <c r="BL193" s="199"/>
      <c r="BM193" s="199"/>
      <c r="BN193" s="199"/>
      <c r="BO193" s="199"/>
      <c r="BP193" s="199"/>
      <c r="BQ193" s="199"/>
      <c r="BR193" s="199"/>
      <c r="BS193" s="199"/>
      <c r="BT193" s="199"/>
    </row>
    <row r="194" spans="1:72" ht="15" customHeight="1">
      <c r="C194" s="1635"/>
      <c r="BE194" s="1635" t="s">
        <v>1215</v>
      </c>
      <c r="BG194" s="2">
        <f>BG192+BH192</f>
        <v>29</v>
      </c>
      <c r="BJ194" s="2">
        <f>BJ192+BK192</f>
        <v>30</v>
      </c>
      <c r="BM194" s="2">
        <f>BM192+BN192</f>
        <v>5</v>
      </c>
      <c r="BP194" s="2">
        <f>BP192+BQ192</f>
        <v>4</v>
      </c>
      <c r="BS194" s="2">
        <f>BS192+BT192</f>
        <v>5</v>
      </c>
    </row>
    <row r="195" spans="1:72" ht="15" customHeight="1">
      <c r="C195" s="1635"/>
      <c r="BE195" s="1635" t="s">
        <v>1214</v>
      </c>
      <c r="BF195" s="2">
        <f>SUM(BG194:BT194)</f>
        <v>73</v>
      </c>
    </row>
    <row r="196" spans="1:72" s="8" customFormat="1" ht="15" customHeight="1">
      <c r="A196" s="939"/>
      <c r="B196" s="773"/>
      <c r="AP196" s="1135"/>
      <c r="BF196" s="773"/>
      <c r="BG196" s="773"/>
      <c r="BH196" s="773"/>
      <c r="BI196" s="773"/>
      <c r="BJ196" s="773"/>
      <c r="BK196" s="773"/>
      <c r="BL196" s="773"/>
      <c r="BM196" s="773"/>
      <c r="BN196" s="773"/>
      <c r="BO196" s="773"/>
      <c r="BP196" s="773"/>
      <c r="BQ196" s="773"/>
      <c r="BR196" s="773"/>
      <c r="BS196" s="773"/>
      <c r="BT196" s="773"/>
    </row>
    <row r="197" spans="1:72" ht="16" customHeight="1">
      <c r="C197" s="1635"/>
      <c r="BE197" s="1635" t="s">
        <v>816</v>
      </c>
      <c r="BF197" s="1661">
        <f>BG192+BJ192+BM192+BP192+BS192</f>
        <v>35</v>
      </c>
      <c r="BG197" s="2" t="s">
        <v>105</v>
      </c>
    </row>
    <row r="198" spans="1:72" s="149" customFormat="1" ht="15" customHeight="1">
      <c r="A198" s="941"/>
      <c r="B198" s="345"/>
      <c r="C198" s="1636"/>
      <c r="AP198" s="1136"/>
      <c r="BE198" s="1636" t="s">
        <v>1216</v>
      </c>
      <c r="BF198" s="1662">
        <f>BH192+BK192+BN192+BQ192+BT192</f>
        <v>38</v>
      </c>
      <c r="BG198" s="345"/>
      <c r="BH198" s="345"/>
      <c r="BI198" s="345"/>
      <c r="BJ198" s="345"/>
      <c r="BK198" s="345"/>
      <c r="BL198" s="345"/>
      <c r="BM198" s="345"/>
      <c r="BN198" s="345"/>
      <c r="BO198" s="345"/>
      <c r="BP198" s="345"/>
      <c r="BQ198" s="345"/>
      <c r="BR198" s="345"/>
      <c r="BS198" s="345"/>
      <c r="BT198" s="345"/>
    </row>
    <row r="199" spans="1:72">
      <c r="C199" s="1635"/>
      <c r="BE199" s="1635" t="s">
        <v>1217</v>
      </c>
      <c r="BF199" s="1663">
        <f>BF197+BF198</f>
        <v>73</v>
      </c>
    </row>
    <row r="201" spans="1:72">
      <c r="BB201" s="1634" t="s">
        <v>1228</v>
      </c>
      <c r="BF201" s="1664">
        <f>BF197/BF195</f>
        <v>0.47945205479452052</v>
      </c>
    </row>
    <row r="204" spans="1:72">
      <c r="C204" s="3"/>
      <c r="D204" s="3"/>
      <c r="E204" s="57"/>
      <c r="F204" s="57"/>
      <c r="G204" s="57"/>
      <c r="H204" s="61"/>
      <c r="I204" s="77"/>
      <c r="J204" s="77"/>
      <c r="K204" s="77"/>
      <c r="L204" s="77"/>
      <c r="M204" s="77"/>
      <c r="N204" s="77"/>
      <c r="O204" s="77"/>
      <c r="P204" s="77"/>
      <c r="Q204" s="77"/>
      <c r="R204" s="147"/>
      <c r="S204" s="62"/>
      <c r="T204" s="62"/>
      <c r="U204" s="62"/>
      <c r="V204" s="62"/>
      <c r="W204" s="160"/>
      <c r="X204" s="62"/>
      <c r="Y204" s="47"/>
      <c r="Z204" s="47"/>
      <c r="AA204" s="63"/>
      <c r="AB204" s="100"/>
      <c r="AC204" s="62"/>
      <c r="AD204" s="62"/>
      <c r="AE204" s="62"/>
      <c r="AF204" s="47"/>
      <c r="AG204" s="47"/>
      <c r="AH204" s="74"/>
      <c r="AI204" s="74"/>
      <c r="AJ204" s="71"/>
      <c r="AK204" s="55"/>
      <c r="AL204" s="47"/>
      <c r="AM204" s="47"/>
      <c r="AN204" s="986"/>
      <c r="AO204" s="73"/>
      <c r="AQ204" s="45"/>
      <c r="AR204" s="16"/>
      <c r="BB204" s="1634" t="s">
        <v>105</v>
      </c>
    </row>
    <row r="205" spans="1:72" s="14" customFormat="1">
      <c r="A205" s="927"/>
      <c r="B205" s="143"/>
      <c r="C205" s="12"/>
      <c r="D205" s="12"/>
      <c r="E205" s="166"/>
      <c r="F205" s="166"/>
      <c r="G205" s="166"/>
      <c r="H205" s="167"/>
      <c r="I205" s="171"/>
      <c r="J205" s="171"/>
      <c r="K205" s="171"/>
      <c r="L205" s="171"/>
      <c r="M205" s="171"/>
      <c r="N205" s="171"/>
      <c r="O205" s="171"/>
      <c r="P205" s="171"/>
      <c r="Q205" s="171"/>
      <c r="R205" s="147"/>
      <c r="S205" s="160"/>
      <c r="T205" s="160"/>
      <c r="U205" s="160"/>
      <c r="V205" s="160"/>
      <c r="W205" s="160"/>
      <c r="X205" s="160"/>
      <c r="Y205" s="168"/>
      <c r="Z205" s="31"/>
      <c r="AA205" s="82"/>
      <c r="AB205" s="100"/>
      <c r="AC205" s="160"/>
      <c r="AD205" s="160"/>
      <c r="AE205" s="160"/>
      <c r="AF205" s="31"/>
      <c r="AG205" s="31"/>
      <c r="AH205" s="168"/>
      <c r="AI205" s="168"/>
      <c r="AJ205" s="72"/>
      <c r="AK205" s="147"/>
      <c r="AL205" s="31"/>
      <c r="AM205" s="31"/>
      <c r="AN205" s="986"/>
      <c r="AO205" s="73"/>
      <c r="AP205" s="1116"/>
      <c r="AQ205" s="170"/>
      <c r="AR205" s="29"/>
      <c r="AU205" s="96"/>
      <c r="BF205" s="199"/>
      <c r="BG205" s="199"/>
      <c r="BH205" s="199"/>
      <c r="BI205" s="199"/>
      <c r="BJ205" s="199"/>
      <c r="BK205" s="199"/>
      <c r="BL205" s="199"/>
      <c r="BM205" s="199"/>
      <c r="BN205" s="199"/>
      <c r="BO205" s="199"/>
      <c r="BP205" s="199"/>
      <c r="BQ205" s="199"/>
      <c r="BR205" s="199"/>
      <c r="BS205" s="199"/>
      <c r="BT205" s="199"/>
    </row>
    <row r="207" spans="1:72">
      <c r="BA207" t="s">
        <v>105</v>
      </c>
    </row>
    <row r="210" spans="5:47" ht="14" customHeight="1"/>
    <row r="214" spans="5:47" ht="15" customHeight="1"/>
    <row r="215" spans="5:47" ht="14" customHeight="1">
      <c r="E215" s="57"/>
      <c r="F215" s="57"/>
      <c r="G215" s="57"/>
      <c r="H215" s="61"/>
      <c r="I215" s="62"/>
      <c r="J215" s="62"/>
      <c r="K215" s="62"/>
      <c r="L215" s="62"/>
      <c r="M215" s="62"/>
      <c r="N215" s="62"/>
      <c r="O215" s="62"/>
      <c r="P215" s="62"/>
      <c r="Q215" s="62"/>
      <c r="R215" s="145"/>
      <c r="S215" s="62"/>
      <c r="T215" s="62"/>
      <c r="U215" s="62"/>
      <c r="V215" s="62"/>
      <c r="W215" s="160"/>
      <c r="X215" s="62"/>
      <c r="Y215" s="47"/>
      <c r="Z215" s="47"/>
      <c r="AA215" s="63"/>
      <c r="AB215" s="100"/>
      <c r="AC215" s="65"/>
      <c r="AD215" s="65"/>
      <c r="AE215" s="65"/>
      <c r="AF215" s="47"/>
      <c r="AG215" s="47"/>
      <c r="AH215" s="74"/>
      <c r="AI215" s="74"/>
      <c r="AJ215" s="71"/>
      <c r="AK215" s="55"/>
      <c r="AL215" s="47"/>
      <c r="AM215" s="47"/>
      <c r="AO215" s="73"/>
      <c r="AQ215" s="518"/>
      <c r="AS215" s="37"/>
      <c r="AT215" s="37"/>
      <c r="AU215" s="98"/>
    </row>
    <row r="216" spans="5:47">
      <c r="E216" s="57"/>
      <c r="F216" s="57"/>
      <c r="G216" s="57"/>
      <c r="H216" s="61"/>
      <c r="I216" s="77"/>
      <c r="J216" s="77"/>
      <c r="K216" s="77"/>
      <c r="L216" s="77"/>
      <c r="M216" s="77"/>
      <c r="N216" s="77"/>
      <c r="O216" s="77"/>
      <c r="P216" s="77"/>
      <c r="Q216" s="77"/>
      <c r="R216" s="145"/>
      <c r="S216" s="62"/>
      <c r="T216" s="62"/>
      <c r="U216" s="62"/>
      <c r="V216" s="62"/>
      <c r="W216" s="160"/>
      <c r="X216" s="62"/>
      <c r="Y216" s="47"/>
      <c r="Z216" s="47"/>
      <c r="AA216" s="63"/>
      <c r="AB216" s="100"/>
      <c r="AC216" s="65"/>
      <c r="AD216" s="65"/>
      <c r="AE216" s="65"/>
      <c r="AF216" s="47"/>
      <c r="AG216" s="47"/>
      <c r="AH216" s="74"/>
      <c r="AI216" s="74"/>
      <c r="AJ216" s="71"/>
      <c r="AK216" s="55"/>
      <c r="AL216" s="47"/>
      <c r="AM216" s="47"/>
      <c r="AN216" s="73"/>
      <c r="AO216" s="73"/>
      <c r="AQ216" s="518"/>
    </row>
    <row r="217" spans="5:47">
      <c r="E217" s="57"/>
      <c r="F217" s="57"/>
      <c r="G217" s="57"/>
      <c r="H217" s="61"/>
      <c r="I217" s="77"/>
      <c r="J217" s="77"/>
      <c r="K217" s="77"/>
      <c r="L217" s="77"/>
      <c r="M217" s="77"/>
      <c r="N217" s="77"/>
      <c r="O217" s="77"/>
      <c r="P217" s="77"/>
      <c r="Q217" s="77"/>
      <c r="R217" s="145"/>
      <c r="S217" s="62"/>
      <c r="T217" s="62"/>
      <c r="U217" s="62"/>
      <c r="V217" s="62"/>
      <c r="W217" s="160"/>
      <c r="X217" s="62"/>
      <c r="Y217" s="47"/>
      <c r="Z217" s="47"/>
      <c r="AA217" s="63"/>
      <c r="AB217" s="100"/>
      <c r="AC217" s="65"/>
      <c r="AD217" s="65"/>
      <c r="AE217" s="65"/>
      <c r="AF217" s="47"/>
      <c r="AG217" s="47"/>
      <c r="AH217" s="74"/>
      <c r="AI217" s="74"/>
      <c r="AJ217" s="71"/>
      <c r="AK217" s="55"/>
      <c r="AL217" s="47"/>
      <c r="AM217" s="47"/>
      <c r="AN217" s="73"/>
      <c r="AO217" s="73"/>
      <c r="AQ217" s="518"/>
    </row>
    <row r="218" spans="5:47">
      <c r="E218" s="57"/>
      <c r="F218" s="57"/>
      <c r="G218" s="57"/>
      <c r="H218" s="61"/>
      <c r="I218" s="77"/>
      <c r="J218" s="77"/>
      <c r="K218" s="77"/>
      <c r="L218" s="77"/>
      <c r="M218" s="77"/>
      <c r="N218" s="77"/>
      <c r="O218" s="77"/>
      <c r="P218" s="77"/>
      <c r="Q218" s="77"/>
      <c r="R218" s="145"/>
      <c r="S218" s="62"/>
      <c r="T218" s="62"/>
      <c r="U218" s="62"/>
      <c r="V218" s="62"/>
      <c r="W218" s="160"/>
      <c r="X218" s="62"/>
      <c r="Y218" s="47"/>
      <c r="Z218" s="47"/>
      <c r="AA218" s="63"/>
      <c r="AB218" s="100"/>
      <c r="AC218" s="65"/>
      <c r="AD218" s="65"/>
      <c r="AE218" s="65"/>
      <c r="AF218" s="47"/>
      <c r="AG218" s="47"/>
      <c r="AH218" s="74"/>
      <c r="AI218" s="74"/>
      <c r="AJ218" s="71"/>
      <c r="AK218" s="62"/>
      <c r="AL218" s="47"/>
      <c r="AM218" s="47"/>
      <c r="AN218" s="73"/>
      <c r="AO218" s="73"/>
    </row>
    <row r="219" spans="5:47">
      <c r="E219" s="57"/>
      <c r="F219" s="57"/>
      <c r="G219" s="57"/>
      <c r="H219" s="61"/>
      <c r="I219" s="75"/>
      <c r="J219" s="75"/>
      <c r="K219" s="75"/>
      <c r="L219" s="75"/>
      <c r="M219" s="75"/>
      <c r="N219" s="75"/>
      <c r="O219" s="75"/>
      <c r="P219" s="75"/>
      <c r="Q219" s="75"/>
      <c r="R219" s="145"/>
      <c r="S219" s="62"/>
      <c r="T219" s="62"/>
      <c r="U219" s="62"/>
      <c r="V219" s="62"/>
      <c r="W219" s="160"/>
      <c r="X219" s="62"/>
      <c r="Y219" s="47"/>
      <c r="Z219" s="47"/>
      <c r="AA219" s="63"/>
      <c r="AB219" s="100"/>
      <c r="AC219" s="65"/>
      <c r="AD219" s="65"/>
      <c r="AE219" s="65"/>
      <c r="AF219" s="47"/>
      <c r="AG219" s="47"/>
      <c r="AH219" s="74"/>
      <c r="AI219" s="74"/>
      <c r="AJ219" s="78"/>
      <c r="AK219" s="62"/>
      <c r="AL219" s="47"/>
      <c r="AM219" s="47"/>
      <c r="AN219" s="73"/>
      <c r="AO219" s="73"/>
    </row>
    <row r="220" spans="5:47">
      <c r="E220" s="57"/>
      <c r="F220" s="57"/>
      <c r="G220" s="57"/>
      <c r="H220" s="61"/>
      <c r="I220" s="75"/>
      <c r="J220" s="75"/>
      <c r="K220" s="75"/>
      <c r="L220" s="75"/>
      <c r="M220" s="75"/>
      <c r="N220" s="75"/>
      <c r="O220" s="75"/>
      <c r="P220" s="75"/>
      <c r="Q220" s="75"/>
      <c r="R220" s="145"/>
      <c r="S220" s="62"/>
      <c r="T220" s="62"/>
      <c r="U220" s="62"/>
      <c r="V220" s="62"/>
      <c r="W220" s="160"/>
      <c r="X220" s="62"/>
      <c r="Y220" s="47"/>
      <c r="Z220" s="47"/>
      <c r="AA220" s="63"/>
      <c r="AB220" s="100"/>
      <c r="AC220" s="65"/>
      <c r="AD220" s="65"/>
      <c r="AE220" s="65"/>
      <c r="AF220" s="47"/>
      <c r="AG220" s="47"/>
      <c r="AH220" s="74"/>
      <c r="AI220" s="74"/>
      <c r="AJ220" s="47"/>
      <c r="AK220" s="47"/>
      <c r="AL220" s="47"/>
      <c r="AM220" s="47"/>
      <c r="AN220" s="73"/>
      <c r="AO220" s="73"/>
    </row>
    <row r="221" spans="5:47">
      <c r="E221" s="57"/>
      <c r="F221" s="57"/>
      <c r="G221" s="57"/>
      <c r="H221" s="61"/>
      <c r="I221" s="75"/>
      <c r="J221" s="75"/>
      <c r="K221" s="75"/>
      <c r="L221" s="75"/>
      <c r="M221" s="75"/>
      <c r="N221" s="75"/>
      <c r="O221" s="75"/>
      <c r="P221" s="75"/>
      <c r="Q221" s="75"/>
      <c r="R221" s="145"/>
      <c r="S221" s="62"/>
      <c r="T221" s="62"/>
      <c r="U221" s="62"/>
      <c r="V221" s="62"/>
      <c r="W221" s="160"/>
      <c r="X221" s="62"/>
      <c r="Y221" s="47"/>
      <c r="Z221" s="47"/>
      <c r="AA221" s="63"/>
      <c r="AB221" s="100"/>
      <c r="AC221" s="65"/>
      <c r="AD221" s="65"/>
      <c r="AE221" s="65"/>
      <c r="AF221" s="47"/>
      <c r="AG221" s="47"/>
      <c r="AH221" s="74"/>
      <c r="AI221" s="74"/>
      <c r="AJ221" s="47"/>
      <c r="AK221" s="47"/>
      <c r="AL221" s="47"/>
      <c r="AM221" s="47"/>
      <c r="AN221" s="73"/>
      <c r="AO221" s="73"/>
    </row>
    <row r="222" spans="5:47">
      <c r="AC222" s="65"/>
      <c r="AD222" s="65"/>
      <c r="AE222" s="65"/>
      <c r="AN222" s="73"/>
    </row>
    <row r="223" spans="5:47">
      <c r="AC223" s="65"/>
      <c r="AD223" s="65"/>
      <c r="AE223" s="65"/>
    </row>
  </sheetData>
  <mergeCells count="193">
    <mergeCell ref="BG2:BT2"/>
    <mergeCell ref="BG189:BH189"/>
    <mergeCell ref="BJ189:BK189"/>
    <mergeCell ref="BM189:BN189"/>
    <mergeCell ref="BP189:BQ189"/>
    <mergeCell ref="BS189:BT189"/>
    <mergeCell ref="BG3:BH3"/>
    <mergeCell ref="BJ3:BK3"/>
    <mergeCell ref="BM3:BN3"/>
    <mergeCell ref="BP3:BQ3"/>
    <mergeCell ref="BS3:BT3"/>
    <mergeCell ref="B2:B3"/>
    <mergeCell ref="A2:A3"/>
    <mergeCell ref="C108:AG108"/>
    <mergeCell ref="D109:I109"/>
    <mergeCell ref="J109:Q109"/>
    <mergeCell ref="R109:S109"/>
    <mergeCell ref="T109:X109"/>
    <mergeCell ref="Y109:Z109"/>
    <mergeCell ref="AC109:AE109"/>
    <mergeCell ref="AF109:AG109"/>
    <mergeCell ref="AF26:AG26"/>
    <mergeCell ref="AC26:AE26"/>
    <mergeCell ref="Y26:Z26"/>
    <mergeCell ref="T26:X26"/>
    <mergeCell ref="I34:I45"/>
    <mergeCell ref="U34:U44"/>
    <mergeCell ref="AB34:AB44"/>
    <mergeCell ref="C97:AL97"/>
    <mergeCell ref="C2:AO2"/>
    <mergeCell ref="AG76:AG84"/>
    <mergeCell ref="AJ76:AJ84"/>
    <mergeCell ref="AB76:AB84"/>
    <mergeCell ref="G55:G65"/>
    <mergeCell ref="I55:I65"/>
    <mergeCell ref="AC154:AE154"/>
    <mergeCell ref="C1:AG1"/>
    <mergeCell ref="C119:AJ119"/>
    <mergeCell ref="R120:S120"/>
    <mergeCell ref="D120:I120"/>
    <mergeCell ref="Y87:Z87"/>
    <mergeCell ref="AJ87:AN87"/>
    <mergeCell ref="AF87:AG87"/>
    <mergeCell ref="F76:F84"/>
    <mergeCell ref="G76:G84"/>
    <mergeCell ref="AJ120:AN120"/>
    <mergeCell ref="C76:C84"/>
    <mergeCell ref="AC120:AE120"/>
    <mergeCell ref="AF120:AG120"/>
    <mergeCell ref="Y120:Z120"/>
    <mergeCell ref="D106:E106"/>
    <mergeCell ref="D95:E95"/>
    <mergeCell ref="D98:I98"/>
    <mergeCell ref="T120:X120"/>
    <mergeCell ref="D117:E117"/>
    <mergeCell ref="V55:V65"/>
    <mergeCell ref="AF15:AG15"/>
    <mergeCell ref="S76:S85"/>
    <mergeCell ref="AK55:AK65"/>
    <mergeCell ref="D76:E84"/>
    <mergeCell ref="Y143:Z143"/>
    <mergeCell ref="AJ109:AN109"/>
    <mergeCell ref="T68:X68"/>
    <mergeCell ref="Y68:Z68"/>
    <mergeCell ref="AC68:AE68"/>
    <mergeCell ref="AF68:AG68"/>
    <mergeCell ref="AJ68:AN68"/>
    <mergeCell ref="Z76:Z84"/>
    <mergeCell ref="AC76:AC84"/>
    <mergeCell ref="AJ131:AN131"/>
    <mergeCell ref="R131:S131"/>
    <mergeCell ref="C86:AJ86"/>
    <mergeCell ref="J68:Q68"/>
    <mergeCell ref="D68:I68"/>
    <mergeCell ref="S55:S65"/>
    <mergeCell ref="BF156:BH156"/>
    <mergeCell ref="AF154:AG154"/>
    <mergeCell ref="C164:AJ164"/>
    <mergeCell ref="AC165:AE165"/>
    <mergeCell ref="AF165:AG165"/>
    <mergeCell ref="D188:E188"/>
    <mergeCell ref="J180:Q180"/>
    <mergeCell ref="AF180:AG180"/>
    <mergeCell ref="D131:I131"/>
    <mergeCell ref="D143:I143"/>
    <mergeCell ref="R143:S143"/>
    <mergeCell ref="C142:AJ142"/>
    <mergeCell ref="D140:E140"/>
    <mergeCell ref="T154:X154"/>
    <mergeCell ref="T131:X131"/>
    <mergeCell ref="AF131:AG131"/>
    <mergeCell ref="AC131:AE131"/>
    <mergeCell ref="J143:Q143"/>
    <mergeCell ref="J131:Q131"/>
    <mergeCell ref="T143:X143"/>
    <mergeCell ref="D151:E151"/>
    <mergeCell ref="AF143:AG143"/>
    <mergeCell ref="AC143:AE143"/>
    <mergeCell ref="Y154:Z154"/>
    <mergeCell ref="AQ34:AQ44"/>
    <mergeCell ref="R4:S4"/>
    <mergeCell ref="T4:X4"/>
    <mergeCell ref="T15:X15"/>
    <mergeCell ref="D4:I4"/>
    <mergeCell ref="AJ4:AN4"/>
    <mergeCell ref="AC4:AE4"/>
    <mergeCell ref="J4:Q4"/>
    <mergeCell ref="AN34:AN37"/>
    <mergeCell ref="AC34:AC44"/>
    <mergeCell ref="D23:E23"/>
    <mergeCell ref="F34:F44"/>
    <mergeCell ref="G34:G44"/>
    <mergeCell ref="R26:S26"/>
    <mergeCell ref="J26:Q26"/>
    <mergeCell ref="AJ26:AN26"/>
    <mergeCell ref="J15:Q15"/>
    <mergeCell ref="D12:E12"/>
    <mergeCell ref="C14:AJ14"/>
    <mergeCell ref="Y4:Z4"/>
    <mergeCell ref="AG34:AG45"/>
    <mergeCell ref="Z34:Z45"/>
    <mergeCell ref="R154:S154"/>
    <mergeCell ref="AC15:AE15"/>
    <mergeCell ref="R15:S15"/>
    <mergeCell ref="D3:I3"/>
    <mergeCell ref="J3:Q3"/>
    <mergeCell ref="D47:I47"/>
    <mergeCell ref="J47:Q47"/>
    <mergeCell ref="C46:AJ46"/>
    <mergeCell ref="AI3:AN3"/>
    <mergeCell ref="C34:C44"/>
    <mergeCell ref="D34:E44"/>
    <mergeCell ref="R47:S47"/>
    <mergeCell ref="T47:X47"/>
    <mergeCell ref="Y47:Z47"/>
    <mergeCell ref="AC47:AE47"/>
    <mergeCell ref="AF47:AG47"/>
    <mergeCell ref="AJ47:AN47"/>
    <mergeCell ref="AF4:AG4"/>
    <mergeCell ref="D15:I15"/>
    <mergeCell ref="Y15:Z15"/>
    <mergeCell ref="AJ15:AN15"/>
    <mergeCell ref="C25:AJ25"/>
    <mergeCell ref="D26:I26"/>
    <mergeCell ref="S34:S45"/>
    <mergeCell ref="Y180:Z180"/>
    <mergeCell ref="AC180:AE180"/>
    <mergeCell ref="T180:X180"/>
    <mergeCell ref="R180:S180"/>
    <mergeCell ref="D180:I180"/>
    <mergeCell ref="J87:Q87"/>
    <mergeCell ref="Y98:Z98"/>
    <mergeCell ref="R68:S68"/>
    <mergeCell ref="I76:I84"/>
    <mergeCell ref="J120:Q120"/>
    <mergeCell ref="Y131:Z131"/>
    <mergeCell ref="C130:AJ130"/>
    <mergeCell ref="R165:S165"/>
    <mergeCell ref="J165:Q165"/>
    <mergeCell ref="D128:E128"/>
    <mergeCell ref="D175:E175"/>
    <mergeCell ref="D165:I165"/>
    <mergeCell ref="D162:E162"/>
    <mergeCell ref="Y165:Z165"/>
    <mergeCell ref="D154:I154"/>
    <mergeCell ref="T165:X165"/>
    <mergeCell ref="C153:AJ153"/>
    <mergeCell ref="J154:Q154"/>
    <mergeCell ref="AI165:AN165"/>
    <mergeCell ref="AQ55:AQ65"/>
    <mergeCell ref="C55:C65"/>
    <mergeCell ref="R98:S98"/>
    <mergeCell ref="AJ98:AN98"/>
    <mergeCell ref="AF98:AG98"/>
    <mergeCell ref="AC98:AE98"/>
    <mergeCell ref="T98:X98"/>
    <mergeCell ref="J98:Q98"/>
    <mergeCell ref="R87:S87"/>
    <mergeCell ref="AC87:AE87"/>
    <mergeCell ref="D87:I87"/>
    <mergeCell ref="L55:L65"/>
    <mergeCell ref="M55:M65"/>
    <mergeCell ref="K55:K65"/>
    <mergeCell ref="AJ55:AJ65"/>
    <mergeCell ref="U55:U65"/>
    <mergeCell ref="Z55:Z65"/>
    <mergeCell ref="AB55:AB65"/>
    <mergeCell ref="AC55:AC65"/>
    <mergeCell ref="AG55:AG65"/>
    <mergeCell ref="D55:E65"/>
    <mergeCell ref="F55:F65"/>
    <mergeCell ref="AN55:AN58"/>
    <mergeCell ref="T87:X87"/>
  </mergeCells>
  <phoneticPr fontId="61" type="noConversion"/>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RT Intra-Regional Travel</vt:lpstr>
      <vt:lpstr>RT &lt;50miles MTC-SCAG</vt:lpstr>
      <vt:lpstr>Sheet</vt:lpstr>
      <vt:lpstr>Sheet1</vt:lpstr>
      <vt:lpstr>Sheet 3</vt:lpstr>
      <vt:lpstr>Sheet 5</vt:lpstr>
      <vt:lpstr>Sheet 6</vt:lpstr>
      <vt:lpstr>Sheet 4</vt:lpstr>
      <vt:lpstr>RT Travel Adjacent Regions</vt:lpstr>
      <vt:lpstr>RT Travel Non-Adjacent Regions</vt:lpstr>
      <vt:lpstr>RT Travel Other Regions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Grindley</dc:creator>
  <cp:lastModifiedBy>Microsoft Office User</cp:lastModifiedBy>
  <cp:lastPrinted>2017-08-06T05:35:00Z</cp:lastPrinted>
  <dcterms:created xsi:type="dcterms:W3CDTF">2017-05-11T17:37:16Z</dcterms:created>
  <dcterms:modified xsi:type="dcterms:W3CDTF">2019-01-05T01:08:36Z</dcterms:modified>
</cp:coreProperties>
</file>