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charts/chart31.xml" ContentType="application/vnd.openxmlformats-officedocument.drawingml.chart+xml"/>
  <Override PartName="/xl/charts/style25.xml" ContentType="application/vnd.ms-office.chartstyle+xml"/>
  <Override PartName="/xl/charts/colors25.xml" ContentType="application/vnd.ms-office.chartcolorstyle+xml"/>
  <Override PartName="/xl/charts/chart32.xml" ContentType="application/vnd.openxmlformats-officedocument.drawingml.chart+xml"/>
  <Override PartName="/xl/charts/style26.xml" ContentType="application/vnd.ms-office.chartstyle+xml"/>
  <Override PartName="/xl/charts/colors26.xml" ContentType="application/vnd.ms-office.chartcolorstyle+xml"/>
  <Override PartName="/xl/charts/chart33.xml" ContentType="application/vnd.openxmlformats-officedocument.drawingml.chart+xml"/>
  <Override PartName="/xl/charts/style27.xml" ContentType="application/vnd.ms-office.chartstyle+xml"/>
  <Override PartName="/xl/charts/colors27.xml" ContentType="application/vnd.ms-office.chartcolorstyle+xml"/>
  <Override PartName="/xl/charts/chart34.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autoCompressPictures="0"/>
  <mc:AlternateContent xmlns:mc="http://schemas.openxmlformats.org/markup-compatibility/2006">
    <mc:Choice Requires="x15">
      <x15ac:absPath xmlns:x15ac="http://schemas.microsoft.com/office/spreadsheetml/2010/11/ac" url="/Users/williamgrindley/Desktop/December 2018 Spreadsheets/   FINAL Spreadsheets + Figures 19, 21, 22/"/>
    </mc:Choice>
  </mc:AlternateContent>
  <xr:revisionPtr revIDLastSave="0" documentId="13_ncr:1_{C2FEBF15-6FDD-EA41-8171-027386E69BC9}" xr6:coauthVersionLast="40" xr6:coauthVersionMax="40" xr10:uidLastSave="{00000000-0000-0000-0000-000000000000}"/>
  <bookViews>
    <workbookView xWindow="20" yWindow="460" windowWidth="51180" windowHeight="27200" tabRatio="730" activeTab="9" xr2:uid="{00000000-000D-0000-FFFF-FFFF00000000}"/>
  </bookViews>
  <sheets>
    <sheet name="RT Intra-Regional Travel" sheetId="15" r:id="rId1"/>
    <sheet name="RT Travel Adjacent Regions" sheetId="16" r:id="rId2"/>
    <sheet name="RT Travel NonAdjacent Regions" sheetId="18" r:id="rId3"/>
    <sheet name="Sheet" sheetId="13" state="hidden" r:id="rId4"/>
    <sheet name="Sheet1" sheetId="20" state="hidden" r:id="rId5"/>
    <sheet name="Sheet 3" sheetId="8" state="hidden" r:id="rId6"/>
    <sheet name="Sheet 5" sheetId="5" state="hidden" r:id="rId7"/>
    <sheet name="Sheet 6" sheetId="17" state="hidden" r:id="rId8"/>
    <sheet name="Sheet 4" sheetId="14" state="hidden" r:id="rId9"/>
    <sheet name="RT Travel Other Regions" sheetId="25" r:id="rId10"/>
  </sheets>
  <calcPr calcId="19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127" i="16" l="1"/>
  <c r="F129" i="16"/>
  <c r="X129" i="16"/>
  <c r="Y129" i="16"/>
  <c r="Z129" i="16"/>
  <c r="AS129" i="16"/>
  <c r="X130" i="16"/>
  <c r="Y130" i="16"/>
  <c r="Z130" i="16"/>
  <c r="AS130" i="16"/>
  <c r="F80" i="16"/>
  <c r="F79" i="16"/>
  <c r="G79" i="16"/>
  <c r="Q79" i="16"/>
  <c r="R79" i="16"/>
  <c r="S79" i="16"/>
  <c r="AU79" i="16"/>
  <c r="G80" i="16"/>
  <c r="J80" i="16"/>
  <c r="L80" i="16"/>
  <c r="Q80" i="16"/>
  <c r="R80" i="16"/>
  <c r="S80" i="16"/>
  <c r="AU80" i="16"/>
  <c r="AN117" i="16"/>
  <c r="AN116" i="16"/>
  <c r="AK116" i="16"/>
  <c r="L116" i="16"/>
  <c r="O116" i="16"/>
  <c r="Q116" i="16"/>
  <c r="R116" i="16"/>
  <c r="S116" i="16"/>
  <c r="AL116" i="16"/>
  <c r="AC116" i="16"/>
  <c r="AD116" i="16"/>
  <c r="X116" i="16"/>
  <c r="AE116" i="16"/>
  <c r="E116" i="16"/>
  <c r="H116" i="16"/>
  <c r="I116" i="16"/>
  <c r="F116" i="16"/>
  <c r="G116" i="16"/>
  <c r="BE170" i="16"/>
  <c r="BH170" i="16"/>
  <c r="BK170" i="16"/>
  <c r="BN170" i="16"/>
  <c r="BQ170" i="16"/>
  <c r="BD175" i="16"/>
  <c r="BF170" i="16"/>
  <c r="BE172" i="16"/>
  <c r="BI170" i="16"/>
  <c r="BH172" i="16"/>
  <c r="BL170" i="16"/>
  <c r="BK172" i="16"/>
  <c r="BO170" i="16"/>
  <c r="BN172" i="16"/>
  <c r="BR170" i="16"/>
  <c r="BQ172" i="16"/>
  <c r="BD173" i="16"/>
  <c r="BD179" i="16"/>
  <c r="BD176" i="16"/>
  <c r="BD177" i="16"/>
  <c r="L51" i="25"/>
  <c r="L53" i="25"/>
  <c r="Q53" i="25"/>
  <c r="R53" i="25"/>
  <c r="S53" i="25"/>
  <c r="Q52" i="25"/>
  <c r="R52" i="25"/>
  <c r="S52" i="25"/>
  <c r="Q51" i="25"/>
  <c r="R51" i="25"/>
  <c r="S51" i="25"/>
  <c r="L50" i="25"/>
  <c r="Q50" i="25"/>
  <c r="R50" i="25"/>
  <c r="S50" i="25"/>
  <c r="K38" i="25"/>
  <c r="M23" i="25"/>
  <c r="M22" i="25"/>
  <c r="M20" i="25"/>
  <c r="L9" i="25"/>
  <c r="W43" i="25"/>
  <c r="W33" i="25"/>
  <c r="P121" i="18"/>
  <c r="P120" i="18"/>
  <c r="P119" i="18"/>
  <c r="P118" i="18"/>
  <c r="P117" i="18"/>
  <c r="P98" i="18"/>
  <c r="O98" i="18"/>
  <c r="L106" i="16"/>
  <c r="P32" i="16"/>
  <c r="P33" i="16"/>
  <c r="P34" i="16"/>
  <c r="P35" i="16"/>
  <c r="P36" i="16"/>
  <c r="N32" i="16"/>
  <c r="N33" i="16"/>
  <c r="N34" i="16"/>
  <c r="N35" i="16"/>
  <c r="N36" i="16"/>
  <c r="BF40" i="25"/>
  <c r="BF30" i="25"/>
  <c r="BF8" i="25"/>
  <c r="BE73" i="18"/>
  <c r="BE8" i="18"/>
  <c r="AC8" i="15"/>
  <c r="BC8" i="16"/>
  <c r="BC55" i="16"/>
  <c r="AN141" i="16"/>
  <c r="AI69" i="25"/>
  <c r="AJ69" i="25"/>
  <c r="AK69" i="25"/>
  <c r="AL69" i="25"/>
  <c r="AM69" i="25"/>
  <c r="AN69" i="25"/>
  <c r="AO69" i="25"/>
  <c r="AI48" i="25"/>
  <c r="AJ48" i="25"/>
  <c r="AI38" i="25"/>
  <c r="AJ38" i="25"/>
  <c r="AN53" i="25"/>
  <c r="AN52" i="25"/>
  <c r="AN51" i="25"/>
  <c r="AN50" i="25"/>
  <c r="AN43" i="25"/>
  <c r="AN41" i="25"/>
  <c r="AN40" i="25"/>
  <c r="B41" i="25"/>
  <c r="B84" i="18"/>
  <c r="BE84" i="18"/>
  <c r="AN75" i="25"/>
  <c r="AN71" i="25"/>
  <c r="AN74" i="25"/>
  <c r="AN73" i="25"/>
  <c r="AM72" i="25"/>
  <c r="AN72" i="25"/>
  <c r="AN31" i="25"/>
  <c r="AN32" i="25"/>
  <c r="AN33" i="25"/>
  <c r="AN30" i="25"/>
  <c r="AN19" i="25"/>
  <c r="AN23" i="25"/>
  <c r="AN22" i="25"/>
  <c r="AN21" i="25"/>
  <c r="AN20" i="25"/>
  <c r="B42" i="25"/>
  <c r="BF42" i="25"/>
  <c r="BF41" i="25"/>
  <c r="AN12" i="25"/>
  <c r="AN11" i="25"/>
  <c r="AN10" i="25"/>
  <c r="AN9" i="25"/>
  <c r="AN8" i="25"/>
  <c r="AN108" i="18"/>
  <c r="AN73" i="18"/>
  <c r="AN55" i="18"/>
  <c r="AN8" i="18"/>
  <c r="AN164" i="16"/>
  <c r="AN162" i="16"/>
  <c r="AN163" i="16"/>
  <c r="AN161" i="16"/>
  <c r="AN153" i="16"/>
  <c r="AN152" i="16"/>
  <c r="AN151" i="16"/>
  <c r="AN150" i="16"/>
  <c r="AN142" i="16"/>
  <c r="AN140" i="16"/>
  <c r="AN139" i="16"/>
  <c r="AN138" i="16"/>
  <c r="AN128" i="16"/>
  <c r="AN129" i="16"/>
  <c r="AN127" i="16"/>
  <c r="AN126" i="16"/>
  <c r="AN115" i="16"/>
  <c r="AN118" i="16"/>
  <c r="AN107" i="16"/>
  <c r="AN105" i="16"/>
  <c r="AN104" i="16"/>
  <c r="AN103" i="16"/>
  <c r="AN94" i="16"/>
  <c r="AN95" i="16"/>
  <c r="AN93" i="16"/>
  <c r="AN92" i="16"/>
  <c r="AN91" i="16"/>
  <c r="AN80" i="16"/>
  <c r="AN78" i="16"/>
  <c r="AN69" i="16"/>
  <c r="AN68" i="16"/>
  <c r="AN70" i="16"/>
  <c r="AN67" i="16"/>
  <c r="AN66" i="16"/>
  <c r="AN58" i="16"/>
  <c r="AN56" i="16"/>
  <c r="AN55" i="16"/>
  <c r="AN33" i="16"/>
  <c r="AN35" i="16"/>
  <c r="AN32" i="16"/>
  <c r="AN23" i="16"/>
  <c r="AN22" i="16"/>
  <c r="AN21" i="16"/>
  <c r="AN20" i="16"/>
  <c r="AN42" i="25"/>
  <c r="AN76" i="18"/>
  <c r="AN75" i="18"/>
  <c r="AN53" i="18"/>
  <c r="AN82" i="16"/>
  <c r="AN81" i="16"/>
  <c r="AM130" i="16"/>
  <c r="AN130" i="16"/>
  <c r="AM106" i="16"/>
  <c r="AN106" i="16"/>
  <c r="AM57" i="16"/>
  <c r="AN57" i="16"/>
  <c r="AM54" i="16"/>
  <c r="AN54" i="16"/>
  <c r="AM36" i="16"/>
  <c r="AN36" i="16"/>
  <c r="AM34" i="16"/>
  <c r="AN34" i="16"/>
  <c r="AM48" i="25"/>
  <c r="AN48" i="25"/>
  <c r="AO48" i="25"/>
  <c r="AM38" i="25"/>
  <c r="AN38" i="25"/>
  <c r="AO38" i="25"/>
  <c r="AM24" i="16"/>
  <c r="AN24" i="16"/>
  <c r="AN10" i="16"/>
  <c r="AM12" i="16"/>
  <c r="AN12" i="16"/>
  <c r="AM11" i="16"/>
  <c r="AN11" i="16"/>
  <c r="AN9" i="16"/>
  <c r="AN8" i="16"/>
  <c r="B95" i="18"/>
  <c r="BE95" i="18"/>
  <c r="AN121" i="18"/>
  <c r="AN120" i="18"/>
  <c r="AN119" i="18"/>
  <c r="AN118" i="18"/>
  <c r="AN117" i="18"/>
  <c r="AN107" i="18"/>
  <c r="AN106" i="18"/>
  <c r="AN96" i="18"/>
  <c r="AN87" i="18"/>
  <c r="AN86" i="18"/>
  <c r="AN84" i="18"/>
  <c r="AN54" i="18"/>
  <c r="AN35" i="18"/>
  <c r="AN32" i="18"/>
  <c r="AN22" i="18"/>
  <c r="AN21" i="18"/>
  <c r="AN9" i="18"/>
  <c r="AM12" i="18"/>
  <c r="AN12" i="18"/>
  <c r="AM10" i="18"/>
  <c r="AN10" i="18"/>
  <c r="AN79" i="16"/>
  <c r="AN83" i="16"/>
  <c r="B96" i="18"/>
  <c r="BE96" i="18"/>
  <c r="AN109" i="18"/>
  <c r="AN95" i="18"/>
  <c r="AN97" i="18"/>
  <c r="AN98" i="18"/>
  <c r="AN85" i="18"/>
  <c r="AN74" i="18"/>
  <c r="AN52" i="18"/>
  <c r="AN34" i="18"/>
  <c r="AN33" i="18"/>
  <c r="AN24" i="18"/>
  <c r="AN23" i="18"/>
  <c r="AN20" i="18"/>
  <c r="AN11" i="18"/>
  <c r="F12" i="18"/>
  <c r="F11" i="18"/>
  <c r="F10" i="18"/>
  <c r="F9" i="18"/>
  <c r="F8" i="18"/>
  <c r="F76" i="18"/>
  <c r="F75" i="18"/>
  <c r="F74" i="18"/>
  <c r="F73" i="18"/>
  <c r="AD40" i="25"/>
  <c r="AD30" i="25"/>
  <c r="AD21" i="25"/>
  <c r="AD8" i="25"/>
  <c r="F74" i="25"/>
  <c r="F73" i="25"/>
  <c r="F72" i="25"/>
  <c r="F52" i="25"/>
  <c r="F43" i="25"/>
  <c r="F42" i="25"/>
  <c r="F40" i="25"/>
  <c r="F33" i="25"/>
  <c r="F32" i="25"/>
  <c r="F31" i="25"/>
  <c r="F30" i="25"/>
  <c r="L23" i="25"/>
  <c r="L22" i="25"/>
  <c r="L20" i="25"/>
  <c r="L11" i="25"/>
  <c r="L12" i="25"/>
  <c r="L10" i="25"/>
  <c r="F8" i="25"/>
  <c r="F106" i="18"/>
  <c r="G106" i="18"/>
  <c r="P76" i="18"/>
  <c r="P75" i="18"/>
  <c r="T10" i="18"/>
  <c r="T12" i="18"/>
  <c r="E80" i="16"/>
  <c r="N12" i="16"/>
  <c r="N11" i="16"/>
  <c r="N10" i="16"/>
  <c r="N69" i="15"/>
  <c r="L70" i="15"/>
  <c r="L69" i="15"/>
  <c r="F70" i="15"/>
  <c r="N37" i="15"/>
  <c r="L36" i="15"/>
  <c r="K9" i="15"/>
  <c r="K10" i="15"/>
  <c r="A31" i="25"/>
  <c r="A32" i="25"/>
  <c r="A33" i="25"/>
  <c r="A40" i="25"/>
  <c r="A41" i="25"/>
  <c r="A42" i="25"/>
  <c r="A43" i="25"/>
  <c r="A50" i="25"/>
  <c r="A51" i="25"/>
  <c r="A52" i="25"/>
  <c r="A53" i="25"/>
  <c r="A71" i="25"/>
  <c r="A72" i="25"/>
  <c r="A73" i="25"/>
  <c r="A74" i="25"/>
  <c r="A75" i="25"/>
  <c r="A9" i="25"/>
  <c r="A10" i="25"/>
  <c r="A11" i="25"/>
  <c r="A12" i="25"/>
  <c r="A19" i="25"/>
  <c r="A20" i="25"/>
  <c r="A21" i="25"/>
  <c r="A22" i="25"/>
  <c r="A23" i="25"/>
  <c r="A9" i="18"/>
  <c r="A10" i="18"/>
  <c r="A11" i="18"/>
  <c r="A12" i="18"/>
  <c r="A20" i="18"/>
  <c r="A21" i="18"/>
  <c r="A22" i="18"/>
  <c r="A23" i="18"/>
  <c r="A24" i="18"/>
  <c r="A32" i="18"/>
  <c r="A33" i="18"/>
  <c r="A34" i="18"/>
  <c r="A35" i="18"/>
  <c r="A52" i="18"/>
  <c r="A53" i="18"/>
  <c r="A54" i="18"/>
  <c r="A55" i="18"/>
  <c r="A73" i="18"/>
  <c r="A74" i="18"/>
  <c r="A75" i="18"/>
  <c r="A76" i="18"/>
  <c r="A84" i="18"/>
  <c r="A85" i="18"/>
  <c r="A86" i="18"/>
  <c r="A87" i="18"/>
  <c r="A95" i="18"/>
  <c r="A96" i="18"/>
  <c r="A97" i="18"/>
  <c r="A98" i="18"/>
  <c r="A106" i="18"/>
  <c r="A107" i="18"/>
  <c r="A108" i="18"/>
  <c r="A109" i="18"/>
  <c r="A9" i="15"/>
  <c r="A10" i="15"/>
  <c r="A35" i="15"/>
  <c r="A36" i="15"/>
  <c r="A37" i="15"/>
  <c r="A38" i="15"/>
  <c r="A39" i="15"/>
  <c r="A69" i="15"/>
  <c r="A70" i="15"/>
  <c r="A71" i="15"/>
  <c r="A117" i="18"/>
  <c r="A118" i="18"/>
  <c r="A119" i="18"/>
  <c r="A120" i="18"/>
  <c r="A121" i="18"/>
  <c r="A9" i="16"/>
  <c r="A10" i="16"/>
  <c r="A11" i="16"/>
  <c r="A12" i="16"/>
  <c r="A20" i="16"/>
  <c r="A21" i="16"/>
  <c r="A22" i="16"/>
  <c r="A23" i="16"/>
  <c r="A24" i="16"/>
  <c r="A32" i="16"/>
  <c r="A33" i="16"/>
  <c r="A34" i="16"/>
  <c r="A35" i="16"/>
  <c r="A36" i="16"/>
  <c r="A54" i="16"/>
  <c r="A55" i="16"/>
  <c r="A56" i="16"/>
  <c r="A57" i="16"/>
  <c r="A58" i="16"/>
  <c r="A66" i="16"/>
  <c r="A67" i="16"/>
  <c r="A68" i="16"/>
  <c r="A69" i="16"/>
  <c r="A70" i="16"/>
  <c r="A78" i="16"/>
  <c r="A79" i="16"/>
  <c r="A80" i="16"/>
  <c r="A81" i="16"/>
  <c r="A82" i="16"/>
  <c r="A83" i="16"/>
  <c r="A91" i="16"/>
  <c r="A92" i="16"/>
  <c r="A93" i="16"/>
  <c r="A94" i="16"/>
  <c r="A95" i="16"/>
  <c r="A103" i="16"/>
  <c r="A104" i="16"/>
  <c r="A105" i="16"/>
  <c r="A106" i="16"/>
  <c r="A107" i="16"/>
  <c r="A115" i="16"/>
  <c r="A116" i="16"/>
  <c r="A117" i="16"/>
  <c r="A118" i="16"/>
  <c r="A126" i="16"/>
  <c r="A127" i="16"/>
  <c r="A128" i="16"/>
  <c r="A129" i="16"/>
  <c r="A130" i="16"/>
  <c r="A138" i="16"/>
  <c r="A139" i="16"/>
  <c r="A140" i="16"/>
  <c r="A141" i="16"/>
  <c r="A142" i="16"/>
  <c r="A150" i="16"/>
  <c r="A151" i="16"/>
  <c r="A152" i="16"/>
  <c r="A153" i="16"/>
  <c r="A161" i="16"/>
  <c r="A162" i="16"/>
  <c r="A163" i="16"/>
  <c r="A164" i="16"/>
  <c r="AK138" i="16"/>
  <c r="AT138" i="16"/>
  <c r="X138" i="16"/>
  <c r="Y138" i="16"/>
  <c r="Z138" i="16"/>
  <c r="Q138" i="16"/>
  <c r="R138" i="16"/>
  <c r="S138" i="16"/>
  <c r="F138" i="16"/>
  <c r="G138" i="16"/>
  <c r="E138" i="16"/>
  <c r="H138" i="16"/>
  <c r="I138" i="16"/>
  <c r="AB138" i="16"/>
  <c r="AO138" i="16"/>
  <c r="AA138" i="16"/>
  <c r="AS138" i="16"/>
  <c r="AU138" i="16"/>
  <c r="AL138" i="16"/>
  <c r="AV138" i="16"/>
  <c r="AE138" i="16"/>
  <c r="AR138" i="16"/>
  <c r="F128" i="16"/>
  <c r="F126" i="16"/>
  <c r="L126" i="16"/>
  <c r="M105" i="16"/>
  <c r="L105" i="16"/>
  <c r="L103" i="16"/>
  <c r="N22" i="16"/>
  <c r="AK107" i="18"/>
  <c r="AK106" i="18"/>
  <c r="AK139" i="16"/>
  <c r="AK140" i="16"/>
  <c r="AT119" i="18"/>
  <c r="AK119" i="18"/>
  <c r="AT120" i="18"/>
  <c r="AK120" i="18"/>
  <c r="AT121" i="18"/>
  <c r="AK121" i="18"/>
  <c r="AT118" i="18"/>
  <c r="AK118" i="18"/>
  <c r="AT117" i="18"/>
  <c r="AK117" i="18"/>
  <c r="AC118" i="18"/>
  <c r="AD118" i="18"/>
  <c r="AC119" i="18"/>
  <c r="AD119" i="18"/>
  <c r="AC120" i="18"/>
  <c r="AD120" i="18"/>
  <c r="AC121" i="18"/>
  <c r="AD121" i="18"/>
  <c r="AC117" i="18"/>
  <c r="AD117" i="18"/>
  <c r="X121" i="18"/>
  <c r="X120" i="18"/>
  <c r="Y120" i="18"/>
  <c r="Z120" i="18"/>
  <c r="X119" i="18"/>
  <c r="X118" i="18"/>
  <c r="Y118" i="18"/>
  <c r="Z118" i="18"/>
  <c r="X117" i="18"/>
  <c r="O118" i="18"/>
  <c r="O119" i="18"/>
  <c r="O120" i="18"/>
  <c r="O121" i="18"/>
  <c r="O117" i="18"/>
  <c r="E118" i="18"/>
  <c r="H118" i="18"/>
  <c r="E119" i="18"/>
  <c r="H119" i="18"/>
  <c r="I119" i="18"/>
  <c r="E120" i="18"/>
  <c r="H120" i="18"/>
  <c r="E121" i="18"/>
  <c r="H121" i="18"/>
  <c r="I121" i="18"/>
  <c r="E117" i="18"/>
  <c r="H117" i="18"/>
  <c r="F121" i="18"/>
  <c r="G121" i="18"/>
  <c r="F120" i="18"/>
  <c r="G120" i="18"/>
  <c r="F119" i="18"/>
  <c r="G119" i="18"/>
  <c r="F118" i="18"/>
  <c r="G118" i="18"/>
  <c r="F117" i="18"/>
  <c r="G117" i="18"/>
  <c r="V115" i="18"/>
  <c r="W115" i="18"/>
  <c r="X115" i="18"/>
  <c r="Y115" i="18"/>
  <c r="Z115" i="18"/>
  <c r="AA115" i="18"/>
  <c r="AB115" i="18"/>
  <c r="AC115" i="18"/>
  <c r="AD115" i="18"/>
  <c r="AE115" i="18"/>
  <c r="AF115" i="18"/>
  <c r="AG115" i="18"/>
  <c r="AH115" i="18"/>
  <c r="E115" i="18"/>
  <c r="F115" i="18"/>
  <c r="G115" i="18"/>
  <c r="H115" i="18"/>
  <c r="I115" i="18"/>
  <c r="J115" i="18"/>
  <c r="K115" i="18"/>
  <c r="L115" i="18"/>
  <c r="M115" i="18"/>
  <c r="N115" i="18"/>
  <c r="O115" i="18"/>
  <c r="P115" i="18"/>
  <c r="Q115" i="18"/>
  <c r="R115" i="18"/>
  <c r="AT67" i="16"/>
  <c r="AK67" i="16"/>
  <c r="AT70" i="16"/>
  <c r="AK70" i="16"/>
  <c r="AT69" i="16"/>
  <c r="AK69" i="16"/>
  <c r="AT68" i="16"/>
  <c r="AK68" i="16"/>
  <c r="AT66" i="16"/>
  <c r="AK66" i="16"/>
  <c r="AD70" i="16"/>
  <c r="AD67" i="16"/>
  <c r="AD66" i="16"/>
  <c r="AC69" i="16"/>
  <c r="AD69" i="16"/>
  <c r="AC68" i="16"/>
  <c r="AD68" i="16"/>
  <c r="X70" i="16"/>
  <c r="X67" i="16"/>
  <c r="X69" i="16"/>
  <c r="AE69" i="16"/>
  <c r="AF69" i="16"/>
  <c r="AG69" i="16"/>
  <c r="X66" i="16"/>
  <c r="X68" i="16"/>
  <c r="Y68" i="16"/>
  <c r="Z68" i="16"/>
  <c r="L66" i="16"/>
  <c r="Q66" i="16"/>
  <c r="R66" i="16"/>
  <c r="S66" i="16"/>
  <c r="L69" i="16"/>
  <c r="L67" i="16"/>
  <c r="Q67" i="16"/>
  <c r="R67" i="16"/>
  <c r="S67" i="16"/>
  <c r="L70" i="16"/>
  <c r="Q70" i="16"/>
  <c r="R70" i="16"/>
  <c r="S70" i="16"/>
  <c r="L68" i="16"/>
  <c r="J69" i="16"/>
  <c r="J68" i="16"/>
  <c r="E70" i="16"/>
  <c r="H70" i="16"/>
  <c r="E67" i="16"/>
  <c r="H67" i="16"/>
  <c r="E69" i="16"/>
  <c r="H69" i="16"/>
  <c r="AR69" i="16"/>
  <c r="E66" i="16"/>
  <c r="H66" i="16"/>
  <c r="E68" i="16"/>
  <c r="H68" i="16"/>
  <c r="F70" i="16"/>
  <c r="G70" i="16"/>
  <c r="F67" i="16"/>
  <c r="G67" i="16"/>
  <c r="F69" i="16"/>
  <c r="G69" i="16"/>
  <c r="F68" i="16"/>
  <c r="G68" i="16"/>
  <c r="F66" i="16"/>
  <c r="G66" i="16"/>
  <c r="E64" i="16"/>
  <c r="F64" i="16"/>
  <c r="G64" i="16"/>
  <c r="H64" i="16"/>
  <c r="I64" i="16"/>
  <c r="J64" i="16"/>
  <c r="K64" i="16"/>
  <c r="L64" i="16"/>
  <c r="M64" i="16"/>
  <c r="N64" i="16"/>
  <c r="O64" i="16"/>
  <c r="P64" i="16"/>
  <c r="Q64" i="16"/>
  <c r="R64" i="16"/>
  <c r="S64" i="16"/>
  <c r="T64" i="16"/>
  <c r="U64" i="16"/>
  <c r="V64" i="16"/>
  <c r="W64" i="16"/>
  <c r="X64" i="16"/>
  <c r="Y64" i="16"/>
  <c r="Z64" i="16"/>
  <c r="AA64" i="16"/>
  <c r="AB64" i="16"/>
  <c r="AC64" i="16"/>
  <c r="AD64" i="16"/>
  <c r="AE64" i="16"/>
  <c r="AF64" i="16"/>
  <c r="AG64" i="16"/>
  <c r="AH64" i="16"/>
  <c r="B9" i="16"/>
  <c r="AK36" i="16"/>
  <c r="F36" i="16"/>
  <c r="G36" i="16"/>
  <c r="AT36" i="16"/>
  <c r="X36" i="16"/>
  <c r="Y36" i="16"/>
  <c r="Z36" i="16"/>
  <c r="E36" i="16"/>
  <c r="H36" i="16"/>
  <c r="AD36" i="16"/>
  <c r="AK35" i="16"/>
  <c r="F35" i="16"/>
  <c r="G35" i="16"/>
  <c r="AT35" i="16"/>
  <c r="X35" i="16"/>
  <c r="Y35" i="16"/>
  <c r="Z35" i="16"/>
  <c r="E35" i="16"/>
  <c r="H35" i="16"/>
  <c r="AD35" i="16"/>
  <c r="AK34" i="16"/>
  <c r="F34" i="16"/>
  <c r="G34" i="16"/>
  <c r="AT34" i="16"/>
  <c r="X34" i="16"/>
  <c r="Y34" i="16"/>
  <c r="Z34" i="16"/>
  <c r="E34" i="16"/>
  <c r="H34" i="16"/>
  <c r="I34" i="16"/>
  <c r="AD34" i="16"/>
  <c r="AK33" i="16"/>
  <c r="F33" i="16"/>
  <c r="G33" i="16"/>
  <c r="AT33" i="16"/>
  <c r="X33" i="16"/>
  <c r="Y33" i="16"/>
  <c r="Z33" i="16"/>
  <c r="AO33" i="16"/>
  <c r="E33" i="16"/>
  <c r="H33" i="16"/>
  <c r="I33" i="16"/>
  <c r="AD33" i="16"/>
  <c r="AK32" i="16"/>
  <c r="F32" i="16"/>
  <c r="G32" i="16"/>
  <c r="AT32" i="16"/>
  <c r="X32" i="16"/>
  <c r="Y32" i="16"/>
  <c r="Z32" i="16"/>
  <c r="AS32" i="16"/>
  <c r="E32" i="16"/>
  <c r="H32" i="16"/>
  <c r="AD32"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E72" i="25"/>
  <c r="H72" i="25"/>
  <c r="AR72" i="25"/>
  <c r="X72" i="25"/>
  <c r="Y72" i="25"/>
  <c r="Z72" i="25"/>
  <c r="AT72" i="25"/>
  <c r="L72" i="25"/>
  <c r="G72" i="25"/>
  <c r="AK72" i="25"/>
  <c r="E73" i="25"/>
  <c r="H73" i="25"/>
  <c r="X73" i="25"/>
  <c r="Y73" i="25"/>
  <c r="Z73" i="25"/>
  <c r="AS73" i="25"/>
  <c r="AT73" i="25"/>
  <c r="L73" i="25"/>
  <c r="G73" i="25"/>
  <c r="AK73" i="25"/>
  <c r="E74" i="25"/>
  <c r="H74" i="25"/>
  <c r="AR74" i="25"/>
  <c r="T74" i="25"/>
  <c r="U74" i="25"/>
  <c r="AT74" i="25"/>
  <c r="L74" i="25"/>
  <c r="N74" i="25"/>
  <c r="G74" i="25"/>
  <c r="AK74" i="25"/>
  <c r="E75" i="25"/>
  <c r="H75" i="25"/>
  <c r="T75" i="25"/>
  <c r="U75" i="25"/>
  <c r="AT75" i="25"/>
  <c r="L75" i="25"/>
  <c r="N75" i="25"/>
  <c r="F75" i="25"/>
  <c r="G75" i="25"/>
  <c r="AK75" i="25"/>
  <c r="L71" i="25"/>
  <c r="AK71" i="25"/>
  <c r="F71" i="25"/>
  <c r="G71" i="25"/>
  <c r="AT71" i="25"/>
  <c r="X71" i="25"/>
  <c r="Y71" i="25"/>
  <c r="Z71" i="25"/>
  <c r="E71" i="25"/>
  <c r="H71" i="25"/>
  <c r="AR71" i="25"/>
  <c r="E51" i="25"/>
  <c r="H51" i="25"/>
  <c r="AR51" i="25"/>
  <c r="X51" i="25"/>
  <c r="Y51" i="25"/>
  <c r="Z51" i="25"/>
  <c r="AT51" i="25"/>
  <c r="AK51" i="25"/>
  <c r="AL51" i="25"/>
  <c r="AV51" i="25"/>
  <c r="F51" i="25"/>
  <c r="G51" i="25"/>
  <c r="E52" i="25"/>
  <c r="H52" i="25"/>
  <c r="AR52" i="25"/>
  <c r="X52" i="25"/>
  <c r="Y52" i="25"/>
  <c r="Z52" i="25"/>
  <c r="AS52" i="25"/>
  <c r="AT52" i="25"/>
  <c r="G52" i="25"/>
  <c r="AK52" i="25"/>
  <c r="E53" i="25"/>
  <c r="H53" i="25"/>
  <c r="AR53" i="25"/>
  <c r="X53" i="25"/>
  <c r="Y53" i="25"/>
  <c r="Z53" i="25"/>
  <c r="AT53" i="25"/>
  <c r="F53" i="25"/>
  <c r="G53" i="25"/>
  <c r="AK53" i="25"/>
  <c r="AK50" i="25"/>
  <c r="F50" i="25"/>
  <c r="G50" i="25"/>
  <c r="AT50" i="25"/>
  <c r="X50" i="25"/>
  <c r="Y50" i="25"/>
  <c r="Z50" i="25"/>
  <c r="AS50" i="25"/>
  <c r="E50" i="25"/>
  <c r="H50" i="25"/>
  <c r="N43" i="25"/>
  <c r="O43" i="25"/>
  <c r="P43" i="25"/>
  <c r="AK43" i="25"/>
  <c r="G43" i="25"/>
  <c r="AT43" i="25"/>
  <c r="X43" i="25"/>
  <c r="Y43" i="25"/>
  <c r="Z43" i="25"/>
  <c r="AS43" i="25"/>
  <c r="E43" i="25"/>
  <c r="H43" i="25"/>
  <c r="N42" i="25"/>
  <c r="O42" i="25"/>
  <c r="AK42" i="25"/>
  <c r="G42" i="25"/>
  <c r="AT42" i="25"/>
  <c r="X42" i="25"/>
  <c r="Y42" i="25"/>
  <c r="Z42" i="25"/>
  <c r="AS42" i="25"/>
  <c r="E42" i="25"/>
  <c r="H42" i="25"/>
  <c r="N41" i="25"/>
  <c r="AK41" i="25"/>
  <c r="F41" i="25"/>
  <c r="G41" i="25"/>
  <c r="AT41" i="25"/>
  <c r="X41" i="25"/>
  <c r="Y41" i="25"/>
  <c r="Z41" i="25"/>
  <c r="E41" i="25"/>
  <c r="H41" i="25"/>
  <c r="AR41" i="25"/>
  <c r="N40" i="25"/>
  <c r="AK40" i="25"/>
  <c r="G40" i="25"/>
  <c r="AT40" i="25"/>
  <c r="X40" i="25"/>
  <c r="Y40" i="25"/>
  <c r="Z40" i="25"/>
  <c r="AS40" i="25"/>
  <c r="E40" i="25"/>
  <c r="H40" i="25"/>
  <c r="AR40" i="25"/>
  <c r="E31" i="25"/>
  <c r="H31" i="25"/>
  <c r="AR31" i="25"/>
  <c r="X31" i="25"/>
  <c r="Y31" i="25"/>
  <c r="Z31" i="25"/>
  <c r="AT31" i="25"/>
  <c r="L31" i="25"/>
  <c r="N31" i="25"/>
  <c r="G31" i="25"/>
  <c r="AK31" i="25"/>
  <c r="E32" i="25"/>
  <c r="H32" i="25"/>
  <c r="X32" i="25"/>
  <c r="Y32" i="25"/>
  <c r="Z32" i="25"/>
  <c r="AS32" i="25"/>
  <c r="AT32" i="25"/>
  <c r="N32" i="25"/>
  <c r="G32" i="25"/>
  <c r="AK32" i="25"/>
  <c r="E33" i="25"/>
  <c r="H33" i="25"/>
  <c r="AR33" i="25"/>
  <c r="X33" i="25"/>
  <c r="AT33" i="25"/>
  <c r="N33" i="25"/>
  <c r="P33" i="25"/>
  <c r="G33" i="25"/>
  <c r="AK33" i="25"/>
  <c r="N30" i="25"/>
  <c r="AK30" i="25"/>
  <c r="G30" i="25"/>
  <c r="AT30" i="25"/>
  <c r="X30" i="25"/>
  <c r="Y30" i="25"/>
  <c r="Z30" i="25"/>
  <c r="AS30" i="25"/>
  <c r="E30" i="25"/>
  <c r="H30" i="25"/>
  <c r="AR30" i="25"/>
  <c r="E20" i="25"/>
  <c r="H20" i="25"/>
  <c r="AR20" i="25"/>
  <c r="X20" i="25"/>
  <c r="Y20" i="25"/>
  <c r="Z20" i="25"/>
  <c r="AT20" i="25"/>
  <c r="Q20" i="25"/>
  <c r="R20" i="25"/>
  <c r="S20" i="25"/>
  <c r="F20" i="25"/>
  <c r="G20" i="25"/>
  <c r="AK20" i="25"/>
  <c r="E21" i="25"/>
  <c r="H21" i="25"/>
  <c r="X21" i="25"/>
  <c r="Y21" i="25"/>
  <c r="Z21" i="25"/>
  <c r="AS21" i="25"/>
  <c r="AT21" i="25"/>
  <c r="Q21" i="25"/>
  <c r="R21" i="25"/>
  <c r="S21" i="25"/>
  <c r="F21" i="25"/>
  <c r="G21" i="25"/>
  <c r="AK21" i="25"/>
  <c r="E22" i="25"/>
  <c r="H22" i="25"/>
  <c r="X22" i="25"/>
  <c r="Y22" i="25"/>
  <c r="Z22" i="25"/>
  <c r="AS22" i="25"/>
  <c r="AT22" i="25"/>
  <c r="Q22" i="25"/>
  <c r="R22" i="25"/>
  <c r="S22" i="25"/>
  <c r="F22" i="25"/>
  <c r="G22" i="25"/>
  <c r="AK22" i="25"/>
  <c r="E23" i="25"/>
  <c r="H23" i="25"/>
  <c r="AR23" i="25"/>
  <c r="X23" i="25"/>
  <c r="Y23" i="25"/>
  <c r="Z23" i="25"/>
  <c r="AT23" i="25"/>
  <c r="Q23" i="25"/>
  <c r="R23" i="25"/>
  <c r="S23" i="25"/>
  <c r="F23" i="25"/>
  <c r="G23" i="25"/>
  <c r="AK23" i="25"/>
  <c r="Q19" i="25"/>
  <c r="R19" i="25"/>
  <c r="S19" i="25"/>
  <c r="AK19" i="25"/>
  <c r="G19" i="25"/>
  <c r="AT19" i="25"/>
  <c r="X19" i="25"/>
  <c r="Y19" i="25"/>
  <c r="Z19" i="25"/>
  <c r="E19" i="25"/>
  <c r="H19" i="25"/>
  <c r="E9" i="25"/>
  <c r="H9" i="25"/>
  <c r="AR9" i="25"/>
  <c r="X9" i="25"/>
  <c r="Y9" i="25"/>
  <c r="Z9" i="25"/>
  <c r="AS9" i="25"/>
  <c r="AT9" i="25"/>
  <c r="Q9" i="25"/>
  <c r="R9" i="25"/>
  <c r="S9" i="25"/>
  <c r="F9" i="25"/>
  <c r="G9" i="25"/>
  <c r="AK9" i="25"/>
  <c r="E10" i="25"/>
  <c r="H10" i="25"/>
  <c r="X10" i="25"/>
  <c r="Y10" i="25"/>
  <c r="Z10" i="25"/>
  <c r="AS10" i="25"/>
  <c r="AT10" i="25"/>
  <c r="Q10" i="25"/>
  <c r="R10" i="25"/>
  <c r="S10" i="25"/>
  <c r="F10" i="25"/>
  <c r="G10" i="25"/>
  <c r="AK10" i="25"/>
  <c r="E11" i="25"/>
  <c r="H11" i="25"/>
  <c r="AR11" i="25"/>
  <c r="X11" i="25"/>
  <c r="Y11" i="25"/>
  <c r="Z11" i="25"/>
  <c r="AT11" i="25"/>
  <c r="Q11" i="25"/>
  <c r="R11" i="25"/>
  <c r="S11" i="25"/>
  <c r="F11" i="25"/>
  <c r="G11" i="25"/>
  <c r="AK11" i="25"/>
  <c r="E12" i="25"/>
  <c r="H12" i="25"/>
  <c r="X12" i="25"/>
  <c r="Y12" i="25"/>
  <c r="Z12" i="25"/>
  <c r="AS12" i="25"/>
  <c r="AT12" i="25"/>
  <c r="Q12" i="25"/>
  <c r="R12" i="25"/>
  <c r="S12" i="25"/>
  <c r="F12" i="25"/>
  <c r="G12" i="25"/>
  <c r="AK12" i="25"/>
  <c r="Q8" i="25"/>
  <c r="R8" i="25"/>
  <c r="S8" i="25"/>
  <c r="AK8" i="25"/>
  <c r="G8" i="25"/>
  <c r="AT8" i="25"/>
  <c r="X8" i="25"/>
  <c r="Y8" i="25"/>
  <c r="Z8" i="25"/>
  <c r="E8" i="25"/>
  <c r="H8" i="25"/>
  <c r="B9" i="18"/>
  <c r="Q109" i="18"/>
  <c r="R109" i="18"/>
  <c r="S109" i="18"/>
  <c r="AK109" i="18"/>
  <c r="F109" i="18"/>
  <c r="G109" i="18"/>
  <c r="AT109" i="18"/>
  <c r="X109" i="18"/>
  <c r="Y109" i="18"/>
  <c r="Z109" i="18"/>
  <c r="AS109" i="18"/>
  <c r="E109" i="18"/>
  <c r="H109" i="18"/>
  <c r="AR109" i="18"/>
  <c r="O108" i="18"/>
  <c r="Q108" i="18"/>
  <c r="R108" i="18"/>
  <c r="S108" i="18"/>
  <c r="AK108" i="18"/>
  <c r="F108" i="18"/>
  <c r="G108" i="18"/>
  <c r="AT108" i="18"/>
  <c r="X108" i="18"/>
  <c r="Y108" i="18"/>
  <c r="Z108" i="18"/>
  <c r="E108" i="18"/>
  <c r="H108" i="18"/>
  <c r="O107" i="18"/>
  <c r="P107" i="18"/>
  <c r="Q107" i="18"/>
  <c r="R107" i="18"/>
  <c r="S107" i="18"/>
  <c r="AL107" i="18"/>
  <c r="F107" i="18"/>
  <c r="G107" i="18"/>
  <c r="AT107" i="18"/>
  <c r="X107" i="18"/>
  <c r="Y107" i="18"/>
  <c r="Z107" i="18"/>
  <c r="E107" i="18"/>
  <c r="H107" i="18"/>
  <c r="O106" i="18"/>
  <c r="Q106" i="18"/>
  <c r="R106" i="18"/>
  <c r="S106" i="18"/>
  <c r="AL106" i="18"/>
  <c r="AT106" i="18"/>
  <c r="X106" i="18"/>
  <c r="Y106" i="18"/>
  <c r="Z106" i="18"/>
  <c r="AO106" i="18"/>
  <c r="E106" i="18"/>
  <c r="H106" i="18"/>
  <c r="AR106" i="18"/>
  <c r="E96" i="18"/>
  <c r="H96" i="18"/>
  <c r="X96" i="18"/>
  <c r="Y96" i="18"/>
  <c r="Z96" i="18"/>
  <c r="AT96" i="18"/>
  <c r="O96" i="18"/>
  <c r="Q96" i="18"/>
  <c r="R96" i="18"/>
  <c r="S96" i="18"/>
  <c r="F96" i="18"/>
  <c r="G96" i="18"/>
  <c r="AK96" i="18"/>
  <c r="E97" i="18"/>
  <c r="H97" i="18"/>
  <c r="X97" i="18"/>
  <c r="Y97" i="18"/>
  <c r="Z97" i="18"/>
  <c r="AS97" i="18"/>
  <c r="AT97" i="18"/>
  <c r="O97" i="18"/>
  <c r="Q97" i="18"/>
  <c r="R97" i="18"/>
  <c r="S97" i="18"/>
  <c r="F97" i="18"/>
  <c r="G97" i="18"/>
  <c r="AK97" i="18"/>
  <c r="E98" i="18"/>
  <c r="H98" i="18"/>
  <c r="X98" i="18"/>
  <c r="Y98" i="18"/>
  <c r="Z98" i="18"/>
  <c r="AS98" i="18"/>
  <c r="AT98" i="18"/>
  <c r="Q98" i="18"/>
  <c r="R98" i="18"/>
  <c r="S98" i="18"/>
  <c r="F98" i="18"/>
  <c r="G98" i="18"/>
  <c r="AK98" i="18"/>
  <c r="Q95" i="18"/>
  <c r="R95" i="18"/>
  <c r="S95" i="18"/>
  <c r="AK95" i="18"/>
  <c r="F95" i="18"/>
  <c r="G95" i="18"/>
  <c r="AT95" i="18"/>
  <c r="X95" i="18"/>
  <c r="Y95" i="18"/>
  <c r="Z95" i="18"/>
  <c r="E95" i="18"/>
  <c r="H95" i="18"/>
  <c r="E85" i="18"/>
  <c r="H85" i="18"/>
  <c r="AR85" i="18"/>
  <c r="X85" i="18"/>
  <c r="Y85" i="18"/>
  <c r="Z85" i="18"/>
  <c r="AT85" i="18"/>
  <c r="M85" i="18"/>
  <c r="Q85" i="18"/>
  <c r="R85" i="18"/>
  <c r="S85" i="18"/>
  <c r="F85" i="18"/>
  <c r="G85" i="18"/>
  <c r="AK85" i="18"/>
  <c r="E86" i="18"/>
  <c r="H86" i="18"/>
  <c r="X86" i="18"/>
  <c r="Y86" i="18"/>
  <c r="Z86" i="18"/>
  <c r="AS86" i="18"/>
  <c r="AT86" i="18"/>
  <c r="M86" i="18"/>
  <c r="Q86" i="18"/>
  <c r="R86" i="18"/>
  <c r="S86" i="18"/>
  <c r="F86" i="18"/>
  <c r="G86" i="18"/>
  <c r="AK86" i="18"/>
  <c r="E87" i="18"/>
  <c r="H87" i="18"/>
  <c r="X87" i="18"/>
  <c r="Y87" i="18"/>
  <c r="Z87" i="18"/>
  <c r="AT87" i="18"/>
  <c r="M87" i="18"/>
  <c r="Q87" i="18"/>
  <c r="R87" i="18"/>
  <c r="S87" i="18"/>
  <c r="F87" i="18"/>
  <c r="G87" i="18"/>
  <c r="AK87" i="18"/>
  <c r="M84" i="18"/>
  <c r="Q84" i="18"/>
  <c r="R84" i="18"/>
  <c r="S84" i="18"/>
  <c r="AK84" i="18"/>
  <c r="F84" i="18"/>
  <c r="G84" i="18"/>
  <c r="AT84" i="18"/>
  <c r="X84" i="18"/>
  <c r="Y84" i="18"/>
  <c r="Z84" i="18"/>
  <c r="E84" i="18"/>
  <c r="H84" i="18"/>
  <c r="E74" i="18"/>
  <c r="H74" i="18"/>
  <c r="X74" i="18"/>
  <c r="Y74" i="18"/>
  <c r="Z74" i="18"/>
  <c r="AT74" i="18"/>
  <c r="L74" i="18"/>
  <c r="Q74" i="18"/>
  <c r="R74" i="18"/>
  <c r="S74" i="18"/>
  <c r="G74" i="18"/>
  <c r="AK74" i="18"/>
  <c r="E75" i="18"/>
  <c r="H75" i="18"/>
  <c r="X75" i="18"/>
  <c r="Y75" i="18"/>
  <c r="Z75" i="18"/>
  <c r="AS75" i="18"/>
  <c r="AT75" i="18"/>
  <c r="L75" i="18"/>
  <c r="Q75" i="18"/>
  <c r="R75" i="18"/>
  <c r="S75" i="18"/>
  <c r="G75" i="18"/>
  <c r="AK75" i="18"/>
  <c r="E76" i="18"/>
  <c r="H76" i="18"/>
  <c r="X76" i="18"/>
  <c r="Y76" i="18"/>
  <c r="Z76" i="18"/>
  <c r="AT76" i="18"/>
  <c r="L76" i="18"/>
  <c r="Q76" i="18"/>
  <c r="R76" i="18"/>
  <c r="S76" i="18"/>
  <c r="G76" i="18"/>
  <c r="AK76" i="18"/>
  <c r="L73" i="18"/>
  <c r="Q73" i="18"/>
  <c r="R73" i="18"/>
  <c r="S73" i="18"/>
  <c r="AK73" i="18"/>
  <c r="G73" i="18"/>
  <c r="AT73" i="18"/>
  <c r="X73" i="18"/>
  <c r="Y73" i="18"/>
  <c r="Z73" i="18"/>
  <c r="E73" i="18"/>
  <c r="H73" i="18"/>
  <c r="E53" i="18"/>
  <c r="H53" i="18"/>
  <c r="X53" i="18"/>
  <c r="Y53" i="18"/>
  <c r="Z53" i="18"/>
  <c r="AO53" i="18"/>
  <c r="AT53" i="18"/>
  <c r="Q53" i="18"/>
  <c r="R53" i="18"/>
  <c r="S53" i="18"/>
  <c r="F53" i="18"/>
  <c r="G53" i="18"/>
  <c r="AK53" i="18"/>
  <c r="E54" i="18"/>
  <c r="H54" i="18"/>
  <c r="AR54" i="18"/>
  <c r="X54" i="18"/>
  <c r="Y54" i="18"/>
  <c r="Z54" i="18"/>
  <c r="AT54" i="18"/>
  <c r="L54" i="18"/>
  <c r="Q54" i="18"/>
  <c r="R54" i="18"/>
  <c r="S54" i="18"/>
  <c r="F54" i="18"/>
  <c r="G54" i="18"/>
  <c r="AK54" i="18"/>
  <c r="E55" i="18"/>
  <c r="H55" i="18"/>
  <c r="X55" i="18"/>
  <c r="Y55" i="18"/>
  <c r="Z55" i="18"/>
  <c r="AT55" i="18"/>
  <c r="J55" i="18"/>
  <c r="Q55" i="18"/>
  <c r="R55" i="18"/>
  <c r="S55" i="18"/>
  <c r="F55" i="18"/>
  <c r="G55" i="18"/>
  <c r="AK55" i="18"/>
  <c r="Q52" i="18"/>
  <c r="R52" i="18"/>
  <c r="S52" i="18"/>
  <c r="AK52" i="18"/>
  <c r="F52" i="18"/>
  <c r="G52" i="18"/>
  <c r="AT52" i="18"/>
  <c r="X52" i="18"/>
  <c r="Y52" i="18"/>
  <c r="Z52" i="18"/>
  <c r="AS52" i="18"/>
  <c r="E52" i="18"/>
  <c r="H52" i="18"/>
  <c r="AR52" i="18"/>
  <c r="E33" i="18"/>
  <c r="H33" i="18"/>
  <c r="X33" i="18"/>
  <c r="Y33" i="18"/>
  <c r="Z33" i="18"/>
  <c r="AT33" i="18"/>
  <c r="L33" i="18"/>
  <c r="Q33" i="18"/>
  <c r="R33" i="18"/>
  <c r="S33" i="18"/>
  <c r="F33" i="18"/>
  <c r="G33" i="18"/>
  <c r="AK33" i="18"/>
  <c r="E34" i="18"/>
  <c r="H34" i="18"/>
  <c r="X34" i="18"/>
  <c r="Y34" i="18"/>
  <c r="Z34" i="18"/>
  <c r="AT34" i="18"/>
  <c r="Q34" i="18"/>
  <c r="R34" i="18"/>
  <c r="S34" i="18"/>
  <c r="G34" i="18"/>
  <c r="AK34" i="18"/>
  <c r="E35" i="18"/>
  <c r="H35" i="18"/>
  <c r="AR35" i="18"/>
  <c r="X35" i="18"/>
  <c r="Y35" i="18"/>
  <c r="Z35" i="18"/>
  <c r="AT35" i="18"/>
  <c r="Q35" i="18"/>
  <c r="R35" i="18"/>
  <c r="S35" i="18"/>
  <c r="F35" i="18"/>
  <c r="G35" i="18"/>
  <c r="AK35" i="18"/>
  <c r="L32" i="18"/>
  <c r="Q32" i="18"/>
  <c r="R32" i="18"/>
  <c r="S32" i="18"/>
  <c r="AK32" i="18"/>
  <c r="F32" i="18"/>
  <c r="G32" i="18"/>
  <c r="AT32" i="18"/>
  <c r="X32" i="18"/>
  <c r="Y32" i="18"/>
  <c r="Z32" i="18"/>
  <c r="E32" i="18"/>
  <c r="H32" i="18"/>
  <c r="AR32" i="18"/>
  <c r="Q24" i="18"/>
  <c r="R24" i="18"/>
  <c r="S24" i="18"/>
  <c r="AK24" i="18"/>
  <c r="F24" i="18"/>
  <c r="G24" i="18"/>
  <c r="AT24" i="18"/>
  <c r="X24" i="18"/>
  <c r="Y24" i="18"/>
  <c r="Z24" i="18"/>
  <c r="E24" i="18"/>
  <c r="H24" i="18"/>
  <c r="AR24" i="18"/>
  <c r="Q23" i="18"/>
  <c r="R23" i="18"/>
  <c r="S23" i="18"/>
  <c r="AK23" i="18"/>
  <c r="F23" i="18"/>
  <c r="G23" i="18"/>
  <c r="AT23" i="18"/>
  <c r="X23" i="18"/>
  <c r="Y23" i="18"/>
  <c r="Z23" i="18"/>
  <c r="AO23" i="18"/>
  <c r="E23" i="18"/>
  <c r="H23" i="18"/>
  <c r="N22" i="18"/>
  <c r="Q22" i="18"/>
  <c r="R22" i="18"/>
  <c r="S22" i="18"/>
  <c r="AK22" i="18"/>
  <c r="F22" i="18"/>
  <c r="G22" i="18"/>
  <c r="AT22" i="18"/>
  <c r="X22" i="18"/>
  <c r="Y22" i="18"/>
  <c r="Z22" i="18"/>
  <c r="E22" i="18"/>
  <c r="H22" i="18"/>
  <c r="N21" i="18"/>
  <c r="Q21" i="18"/>
  <c r="R21" i="18"/>
  <c r="S21" i="18"/>
  <c r="AK21" i="18"/>
  <c r="F21" i="18"/>
  <c r="G21" i="18"/>
  <c r="AT21" i="18"/>
  <c r="X21" i="18"/>
  <c r="Y21" i="18"/>
  <c r="Z21" i="18"/>
  <c r="E21" i="18"/>
  <c r="H21" i="18"/>
  <c r="N20" i="18"/>
  <c r="Q20" i="18"/>
  <c r="R20" i="18"/>
  <c r="S20" i="18"/>
  <c r="AK20" i="18"/>
  <c r="F20" i="18"/>
  <c r="G20" i="18"/>
  <c r="AT20" i="18"/>
  <c r="X20" i="18"/>
  <c r="Y20" i="18"/>
  <c r="Z20" i="18"/>
  <c r="E20" i="18"/>
  <c r="H20" i="18"/>
  <c r="E162" i="16"/>
  <c r="H162" i="16"/>
  <c r="X162" i="16"/>
  <c r="Y162" i="16"/>
  <c r="Z162" i="16"/>
  <c r="AT162" i="16"/>
  <c r="Q162" i="16"/>
  <c r="R162" i="16"/>
  <c r="S162" i="16"/>
  <c r="F162" i="16"/>
  <c r="G162" i="16"/>
  <c r="AK162" i="16"/>
  <c r="E163" i="16"/>
  <c r="H163" i="16"/>
  <c r="X163" i="16"/>
  <c r="Y163" i="16"/>
  <c r="Z163" i="16"/>
  <c r="AS163" i="16"/>
  <c r="AT163" i="16"/>
  <c r="Q163" i="16"/>
  <c r="R163" i="16"/>
  <c r="S163" i="16"/>
  <c r="F163" i="16"/>
  <c r="G163" i="16"/>
  <c r="AK163" i="16"/>
  <c r="E164" i="16"/>
  <c r="H164" i="16"/>
  <c r="X164" i="16"/>
  <c r="Y164" i="16"/>
  <c r="Z164" i="16"/>
  <c r="AT164" i="16"/>
  <c r="Q164" i="16"/>
  <c r="R164" i="16"/>
  <c r="S164" i="16"/>
  <c r="F164" i="16"/>
  <c r="G164" i="16"/>
  <c r="AK164" i="16"/>
  <c r="AL164" i="16"/>
  <c r="AV164" i="16"/>
  <c r="Q161" i="16"/>
  <c r="R161" i="16"/>
  <c r="S161" i="16"/>
  <c r="AK161" i="16"/>
  <c r="AL161" i="16"/>
  <c r="AV161" i="16"/>
  <c r="G161" i="16"/>
  <c r="AT161" i="16"/>
  <c r="X161" i="16"/>
  <c r="Y161" i="16"/>
  <c r="Z161" i="16"/>
  <c r="H161" i="16"/>
  <c r="AR161" i="16"/>
  <c r="M141" i="16"/>
  <c r="Q141" i="16"/>
  <c r="R141" i="16"/>
  <c r="S141" i="16"/>
  <c r="AK141" i="16"/>
  <c r="F141" i="16"/>
  <c r="G141" i="16"/>
  <c r="AT141" i="16"/>
  <c r="X141" i="16"/>
  <c r="Y141" i="16"/>
  <c r="Z141" i="16"/>
  <c r="E141" i="16"/>
  <c r="H141" i="16"/>
  <c r="AD141" i="16"/>
  <c r="E152" i="16"/>
  <c r="H152" i="16"/>
  <c r="X152" i="16"/>
  <c r="Y152" i="16"/>
  <c r="Z152" i="16"/>
  <c r="AS152" i="16"/>
  <c r="AT152" i="16"/>
  <c r="M152" i="16"/>
  <c r="Q152" i="16"/>
  <c r="R152" i="16"/>
  <c r="S152" i="16"/>
  <c r="F152" i="16"/>
  <c r="G152" i="16"/>
  <c r="AK152" i="16"/>
  <c r="E153" i="16"/>
  <c r="H153" i="16"/>
  <c r="X153" i="16"/>
  <c r="Y153" i="16"/>
  <c r="Z153" i="16"/>
  <c r="AS153" i="16"/>
  <c r="AT153" i="16"/>
  <c r="Q153" i="16"/>
  <c r="R153" i="16"/>
  <c r="S153" i="16"/>
  <c r="F153" i="16"/>
  <c r="G153" i="16"/>
  <c r="AK153" i="16"/>
  <c r="E151" i="16"/>
  <c r="H151" i="16"/>
  <c r="X151" i="16"/>
  <c r="Y151" i="16"/>
  <c r="Z151" i="16"/>
  <c r="AT151" i="16"/>
  <c r="M151" i="16"/>
  <c r="Q151" i="16"/>
  <c r="R151" i="16"/>
  <c r="S151" i="16"/>
  <c r="F151" i="16"/>
  <c r="G151" i="16"/>
  <c r="AK151" i="16"/>
  <c r="M150" i="16"/>
  <c r="Q150" i="16"/>
  <c r="R150" i="16"/>
  <c r="S150" i="16"/>
  <c r="AK150" i="16"/>
  <c r="F150" i="16"/>
  <c r="G150" i="16"/>
  <c r="AT150" i="16"/>
  <c r="X150" i="16"/>
  <c r="Y150" i="16"/>
  <c r="Z150" i="16"/>
  <c r="AS150" i="16"/>
  <c r="E150" i="16"/>
  <c r="H150" i="16"/>
  <c r="AR150" i="16"/>
  <c r="E140" i="16"/>
  <c r="H140" i="16"/>
  <c r="X140" i="16"/>
  <c r="Y140" i="16"/>
  <c r="Z140" i="16"/>
  <c r="AO140" i="16"/>
  <c r="AT140" i="16"/>
  <c r="Q140" i="16"/>
  <c r="R140" i="16"/>
  <c r="S140" i="16"/>
  <c r="F140" i="16"/>
  <c r="G140" i="16"/>
  <c r="E142" i="16"/>
  <c r="H142" i="16"/>
  <c r="X142" i="16"/>
  <c r="Y142" i="16"/>
  <c r="Z142" i="16"/>
  <c r="AT142" i="16"/>
  <c r="M142" i="16"/>
  <c r="Q142" i="16"/>
  <c r="R142" i="16"/>
  <c r="S142" i="16"/>
  <c r="F142" i="16"/>
  <c r="G142" i="16"/>
  <c r="AK142" i="16"/>
  <c r="Q139" i="16"/>
  <c r="R139" i="16"/>
  <c r="S139" i="16"/>
  <c r="F139" i="16"/>
  <c r="G139" i="16"/>
  <c r="AT139" i="16"/>
  <c r="X139" i="16"/>
  <c r="AE139" i="16"/>
  <c r="AF139" i="16"/>
  <c r="AG139" i="16"/>
  <c r="E139" i="16"/>
  <c r="H139" i="16"/>
  <c r="AR139" i="16"/>
  <c r="E127" i="16"/>
  <c r="H127" i="16"/>
  <c r="X127" i="16"/>
  <c r="Y127" i="16"/>
  <c r="Z127" i="16"/>
  <c r="AS127" i="16"/>
  <c r="AT127" i="16"/>
  <c r="L127" i="16"/>
  <c r="G127" i="16"/>
  <c r="AK127" i="16"/>
  <c r="E128" i="16"/>
  <c r="H128" i="16"/>
  <c r="X128" i="16"/>
  <c r="Y128" i="16"/>
  <c r="Z128" i="16"/>
  <c r="AT128" i="16"/>
  <c r="Q128" i="16"/>
  <c r="R128" i="16"/>
  <c r="S128" i="16"/>
  <c r="G128" i="16"/>
  <c r="AK128" i="16"/>
  <c r="E129" i="16"/>
  <c r="H129" i="16"/>
  <c r="AR129" i="16"/>
  <c r="AT129" i="16"/>
  <c r="L129" i="16"/>
  <c r="G129" i="16"/>
  <c r="AK129" i="16"/>
  <c r="E130" i="16"/>
  <c r="H130" i="16"/>
  <c r="AR130" i="16"/>
  <c r="AT130" i="16"/>
  <c r="J130" i="16"/>
  <c r="L130" i="16"/>
  <c r="F130" i="16"/>
  <c r="G130" i="16"/>
  <c r="AK130" i="16"/>
  <c r="AV126" i="16"/>
  <c r="Q126" i="16"/>
  <c r="R126" i="16"/>
  <c r="S126" i="16"/>
  <c r="G126" i="16"/>
  <c r="AT126" i="16"/>
  <c r="X126" i="16"/>
  <c r="Y126" i="16"/>
  <c r="Z126" i="16"/>
  <c r="E126" i="16"/>
  <c r="H126" i="16"/>
  <c r="AR126" i="16"/>
  <c r="L117" i="16"/>
  <c r="Q117" i="16"/>
  <c r="R117" i="16"/>
  <c r="S117" i="16"/>
  <c r="L118" i="16"/>
  <c r="Q118" i="16"/>
  <c r="R118" i="16"/>
  <c r="S118" i="16"/>
  <c r="L115" i="16"/>
  <c r="Q115" i="16"/>
  <c r="R115" i="16"/>
  <c r="S115" i="16"/>
  <c r="AR116" i="16"/>
  <c r="Y116" i="16"/>
  <c r="Z116" i="16"/>
  <c r="AT116" i="16"/>
  <c r="E117" i="16"/>
  <c r="H117" i="16"/>
  <c r="X117" i="16"/>
  <c r="Y117" i="16"/>
  <c r="Z117" i="16"/>
  <c r="AS117" i="16"/>
  <c r="AT117" i="16"/>
  <c r="F117" i="16"/>
  <c r="G117" i="16"/>
  <c r="AK117" i="16"/>
  <c r="E118" i="16"/>
  <c r="H118" i="16"/>
  <c r="X118" i="16"/>
  <c r="Y118" i="16"/>
  <c r="Z118" i="16"/>
  <c r="AS118" i="16"/>
  <c r="AT118" i="16"/>
  <c r="G118" i="16"/>
  <c r="AK118" i="16"/>
  <c r="AK115" i="16"/>
  <c r="F115" i="16"/>
  <c r="G115" i="16"/>
  <c r="AT115" i="16"/>
  <c r="X115" i="16"/>
  <c r="Y115" i="16"/>
  <c r="Z115" i="16"/>
  <c r="AS115" i="16"/>
  <c r="E115" i="16"/>
  <c r="H115" i="16"/>
  <c r="AR115" i="16"/>
  <c r="E104" i="16"/>
  <c r="H104" i="16"/>
  <c r="AR104" i="16"/>
  <c r="X104" i="16"/>
  <c r="Y104" i="16"/>
  <c r="Z104" i="16"/>
  <c r="AT104" i="16"/>
  <c r="Q104" i="16"/>
  <c r="R104" i="16"/>
  <c r="S104" i="16"/>
  <c r="F104" i="16"/>
  <c r="G104" i="16"/>
  <c r="AK104" i="16"/>
  <c r="E105" i="16"/>
  <c r="H105" i="16"/>
  <c r="AR105" i="16"/>
  <c r="X105" i="16"/>
  <c r="Y105" i="16"/>
  <c r="Z105" i="16"/>
  <c r="AS105" i="16"/>
  <c r="AT105" i="16"/>
  <c r="Q105" i="16"/>
  <c r="R105" i="16"/>
  <c r="S105" i="16"/>
  <c r="F105" i="16"/>
  <c r="G105" i="16"/>
  <c r="AK105" i="16"/>
  <c r="E106" i="16"/>
  <c r="H106" i="16"/>
  <c r="AR106" i="16"/>
  <c r="X106" i="16"/>
  <c r="Y106" i="16"/>
  <c r="Z106" i="16"/>
  <c r="AT106" i="16"/>
  <c r="J106" i="16"/>
  <c r="F106" i="16"/>
  <c r="G106" i="16"/>
  <c r="AK106" i="16"/>
  <c r="E107" i="16"/>
  <c r="H107" i="16"/>
  <c r="AR107" i="16"/>
  <c r="X107" i="16"/>
  <c r="Y107" i="16"/>
  <c r="Z107" i="16"/>
  <c r="AT107" i="16"/>
  <c r="Q107" i="16"/>
  <c r="R107" i="16"/>
  <c r="S107" i="16"/>
  <c r="G107" i="16"/>
  <c r="AK107" i="16"/>
  <c r="Q103" i="16"/>
  <c r="R103" i="16"/>
  <c r="S103" i="16"/>
  <c r="AK103" i="16"/>
  <c r="F103" i="16"/>
  <c r="G103" i="16"/>
  <c r="AT103" i="16"/>
  <c r="X103" i="16"/>
  <c r="Y103" i="16"/>
  <c r="Z103" i="16"/>
  <c r="AS103" i="16"/>
  <c r="E103" i="16"/>
  <c r="H103" i="16"/>
  <c r="E92" i="16"/>
  <c r="H92" i="16"/>
  <c r="AR92" i="16"/>
  <c r="X92" i="16"/>
  <c r="Y92" i="16"/>
  <c r="Z92" i="16"/>
  <c r="AT92" i="16"/>
  <c r="K92" i="16"/>
  <c r="Q92" i="16"/>
  <c r="R92" i="16"/>
  <c r="S92" i="16"/>
  <c r="F92" i="16"/>
  <c r="G92" i="16"/>
  <c r="AK92" i="16"/>
  <c r="E93" i="16"/>
  <c r="H93" i="16"/>
  <c r="X93" i="16"/>
  <c r="Y93" i="16"/>
  <c r="Z93" i="16"/>
  <c r="AT93" i="16"/>
  <c r="K93" i="16"/>
  <c r="N93" i="16"/>
  <c r="F93" i="16"/>
  <c r="G93" i="16"/>
  <c r="AK93" i="16"/>
  <c r="E94" i="16"/>
  <c r="H94" i="16"/>
  <c r="X94" i="16"/>
  <c r="Y94" i="16"/>
  <c r="Z94" i="16"/>
  <c r="AS94" i="16"/>
  <c r="AT94" i="16"/>
  <c r="K94" i="16"/>
  <c r="Q94" i="16"/>
  <c r="R94" i="16"/>
  <c r="S94" i="16"/>
  <c r="F94" i="16"/>
  <c r="G94" i="16"/>
  <c r="AK94" i="16"/>
  <c r="E95" i="16"/>
  <c r="H95" i="16"/>
  <c r="AR95" i="16"/>
  <c r="X95" i="16"/>
  <c r="Y95" i="16"/>
  <c r="Z95" i="16"/>
  <c r="AT95" i="16"/>
  <c r="K95" i="16"/>
  <c r="Q95" i="16"/>
  <c r="R95" i="16"/>
  <c r="S95" i="16"/>
  <c r="F95" i="16"/>
  <c r="G95" i="16"/>
  <c r="AK95" i="16"/>
  <c r="K91" i="16"/>
  <c r="Q91" i="16"/>
  <c r="R91" i="16"/>
  <c r="S91" i="16"/>
  <c r="AK91" i="16"/>
  <c r="F91" i="16"/>
  <c r="G91" i="16"/>
  <c r="AT91" i="16"/>
  <c r="X91" i="16"/>
  <c r="Y91" i="16"/>
  <c r="Z91" i="16"/>
  <c r="E91" i="16"/>
  <c r="H91" i="16"/>
  <c r="E79" i="16"/>
  <c r="H79" i="16"/>
  <c r="X79" i="16"/>
  <c r="Y79" i="16"/>
  <c r="Z79" i="16"/>
  <c r="AT79" i="16"/>
  <c r="H80" i="16"/>
  <c r="X80" i="16"/>
  <c r="Y80" i="16"/>
  <c r="Z80" i="16"/>
  <c r="AS80" i="16"/>
  <c r="AT80" i="16"/>
  <c r="E81" i="16"/>
  <c r="H81" i="16"/>
  <c r="X81" i="16"/>
  <c r="Y81" i="16"/>
  <c r="Z81" i="16"/>
  <c r="AS81" i="16"/>
  <c r="AT81" i="16"/>
  <c r="J81" i="16"/>
  <c r="Q81" i="16"/>
  <c r="R81" i="16"/>
  <c r="S81" i="16"/>
  <c r="F81" i="16"/>
  <c r="G81" i="16"/>
  <c r="E82" i="16"/>
  <c r="H82" i="16"/>
  <c r="X82" i="16"/>
  <c r="Y82" i="16"/>
  <c r="Z82" i="16"/>
  <c r="AS82" i="16"/>
  <c r="AT82" i="16"/>
  <c r="Q82" i="16"/>
  <c r="R82" i="16"/>
  <c r="S82" i="16"/>
  <c r="F82" i="16"/>
  <c r="G82" i="16"/>
  <c r="E83" i="16"/>
  <c r="H83" i="16"/>
  <c r="X83" i="16"/>
  <c r="Y83" i="16"/>
  <c r="Z83" i="16"/>
  <c r="AT83" i="16"/>
  <c r="J83" i="16"/>
  <c r="Q83" i="16"/>
  <c r="R83" i="16"/>
  <c r="S83" i="16"/>
  <c r="F83" i="16"/>
  <c r="G83" i="16"/>
  <c r="AK79" i="16"/>
  <c r="AL79" i="16"/>
  <c r="AV79" i="16"/>
  <c r="AK80" i="16"/>
  <c r="AK81" i="16"/>
  <c r="AK82" i="16"/>
  <c r="AK83" i="16"/>
  <c r="E78" i="16"/>
  <c r="H78" i="16"/>
  <c r="AR78" i="16"/>
  <c r="J78" i="16"/>
  <c r="Q78" i="16"/>
  <c r="R78" i="16"/>
  <c r="S78" i="16"/>
  <c r="AK78" i="16"/>
  <c r="F78" i="16"/>
  <c r="G78" i="16"/>
  <c r="AT78" i="16"/>
  <c r="X78" i="16"/>
  <c r="Y78" i="16"/>
  <c r="Z78" i="16"/>
  <c r="E55" i="16"/>
  <c r="H55" i="16"/>
  <c r="E56" i="16"/>
  <c r="H56" i="16"/>
  <c r="E58" i="16"/>
  <c r="H58" i="16"/>
  <c r="E57" i="16"/>
  <c r="H57" i="16"/>
  <c r="AR57" i="16"/>
  <c r="X55" i="16"/>
  <c r="Y55" i="16"/>
  <c r="Z55" i="16"/>
  <c r="X56" i="16"/>
  <c r="Y56" i="16"/>
  <c r="Z56" i="16"/>
  <c r="X58" i="16"/>
  <c r="X57" i="16"/>
  <c r="Y57" i="16"/>
  <c r="Z57" i="16"/>
  <c r="AT55" i="16"/>
  <c r="AT56" i="16"/>
  <c r="AT58" i="16"/>
  <c r="AT57" i="16"/>
  <c r="J55" i="16"/>
  <c r="Q55" i="16"/>
  <c r="R55" i="16"/>
  <c r="S55" i="16"/>
  <c r="F55" i="16"/>
  <c r="G55" i="16"/>
  <c r="J56" i="16"/>
  <c r="Q56" i="16"/>
  <c r="R56" i="16"/>
  <c r="S56" i="16"/>
  <c r="F56" i="16"/>
  <c r="G56" i="16"/>
  <c r="Q58" i="16"/>
  <c r="R58" i="16"/>
  <c r="S58" i="16"/>
  <c r="F58" i="16"/>
  <c r="G58" i="16"/>
  <c r="J57" i="16"/>
  <c r="Q57" i="16"/>
  <c r="R57" i="16"/>
  <c r="S57" i="16"/>
  <c r="F57" i="16"/>
  <c r="G57" i="16"/>
  <c r="AK55" i="16"/>
  <c r="AK56" i="16"/>
  <c r="AL56" i="16"/>
  <c r="AV56" i="16"/>
  <c r="AK58" i="16"/>
  <c r="AK57" i="16"/>
  <c r="J54" i="16"/>
  <c r="Q54" i="16"/>
  <c r="R54" i="16"/>
  <c r="S54" i="16"/>
  <c r="AK54" i="16"/>
  <c r="G54" i="16"/>
  <c r="AT54" i="16"/>
  <c r="X54" i="16"/>
  <c r="Y54" i="16"/>
  <c r="Z54" i="16"/>
  <c r="E54" i="16"/>
  <c r="H54" i="16"/>
  <c r="N24" i="16"/>
  <c r="P24" i="16"/>
  <c r="AK24" i="16"/>
  <c r="N23" i="16"/>
  <c r="P23" i="16"/>
  <c r="AK23" i="16"/>
  <c r="Q22" i="16"/>
  <c r="R22" i="16"/>
  <c r="S22" i="16"/>
  <c r="AK22" i="16"/>
  <c r="N21" i="16"/>
  <c r="Q21" i="16"/>
  <c r="R21" i="16"/>
  <c r="S21" i="16"/>
  <c r="AK21" i="16"/>
  <c r="F21" i="16"/>
  <c r="G21" i="16"/>
  <c r="F22" i="16"/>
  <c r="G22" i="16"/>
  <c r="F23" i="16"/>
  <c r="G23" i="16"/>
  <c r="G24" i="16"/>
  <c r="AT21" i="16"/>
  <c r="AT22" i="16"/>
  <c r="AT23" i="16"/>
  <c r="AT24" i="16"/>
  <c r="X21" i="16"/>
  <c r="Y21" i="16"/>
  <c r="Z21" i="16"/>
  <c r="X22" i="16"/>
  <c r="X23" i="16"/>
  <c r="Y23" i="16"/>
  <c r="Z23" i="16"/>
  <c r="X24" i="16"/>
  <c r="Y24" i="16"/>
  <c r="Z24" i="16"/>
  <c r="AS24" i="16"/>
  <c r="E21" i="16"/>
  <c r="H21" i="16"/>
  <c r="I21" i="16"/>
  <c r="E22" i="16"/>
  <c r="H22" i="16"/>
  <c r="E23" i="16"/>
  <c r="H23" i="16"/>
  <c r="H24" i="16"/>
  <c r="AR24" i="16"/>
  <c r="N20" i="16"/>
  <c r="Q20" i="16"/>
  <c r="R20" i="16"/>
  <c r="S20" i="16"/>
  <c r="AK20" i="16"/>
  <c r="F20" i="16"/>
  <c r="G20" i="16"/>
  <c r="AT20" i="16"/>
  <c r="X20" i="16"/>
  <c r="Y20" i="16"/>
  <c r="Z20" i="16"/>
  <c r="E20" i="16"/>
  <c r="H20" i="16"/>
  <c r="AD22" i="16"/>
  <c r="Q9" i="16"/>
  <c r="R9" i="16"/>
  <c r="S9" i="16"/>
  <c r="AK9" i="16"/>
  <c r="Q10" i="16"/>
  <c r="R10" i="16"/>
  <c r="S10" i="16"/>
  <c r="AK10" i="16"/>
  <c r="Q11" i="16"/>
  <c r="R11" i="16"/>
  <c r="S11" i="16"/>
  <c r="AK11" i="16"/>
  <c r="Q12" i="16"/>
  <c r="R12" i="16"/>
  <c r="S12" i="16"/>
  <c r="AK12" i="16"/>
  <c r="Q8" i="16"/>
  <c r="R8" i="16"/>
  <c r="S8" i="16"/>
  <c r="AK8" i="16"/>
  <c r="N9" i="18"/>
  <c r="Q9" i="18"/>
  <c r="R9" i="18"/>
  <c r="S9" i="18"/>
  <c r="AK9" i="18"/>
  <c r="N10" i="18"/>
  <c r="Q10" i="18"/>
  <c r="R10" i="18"/>
  <c r="S10" i="18"/>
  <c r="AK10" i="18"/>
  <c r="AV11" i="18"/>
  <c r="N12" i="18"/>
  <c r="Q12" i="18"/>
  <c r="R12" i="18"/>
  <c r="S12" i="18"/>
  <c r="AK12" i="18"/>
  <c r="N8" i="18"/>
  <c r="Q8" i="18"/>
  <c r="R8" i="18"/>
  <c r="S8" i="18"/>
  <c r="AK8" i="18"/>
  <c r="F9" i="16"/>
  <c r="G9" i="16"/>
  <c r="F10" i="16"/>
  <c r="G10" i="16"/>
  <c r="F11" i="16"/>
  <c r="G11" i="16"/>
  <c r="F12" i="16"/>
  <c r="G12" i="16"/>
  <c r="F8" i="16"/>
  <c r="G8" i="16"/>
  <c r="AT9" i="16"/>
  <c r="AT10" i="16"/>
  <c r="AT11" i="16"/>
  <c r="AT12" i="16"/>
  <c r="X9" i="16"/>
  <c r="Y9" i="16"/>
  <c r="Z9" i="16"/>
  <c r="X10" i="16"/>
  <c r="Y10" i="16"/>
  <c r="Z10" i="16"/>
  <c r="X11" i="16"/>
  <c r="Y11" i="16"/>
  <c r="Z11" i="16"/>
  <c r="X12" i="16"/>
  <c r="Y12" i="16"/>
  <c r="Z12" i="16"/>
  <c r="AT8" i="16"/>
  <c r="X8" i="16"/>
  <c r="Y8" i="16"/>
  <c r="Z8" i="16"/>
  <c r="E9" i="16"/>
  <c r="H9" i="16"/>
  <c r="E10" i="16"/>
  <c r="H10" i="16"/>
  <c r="E11" i="16"/>
  <c r="H11" i="16"/>
  <c r="E12" i="16"/>
  <c r="H12" i="16"/>
  <c r="E8" i="16"/>
  <c r="H8" i="16"/>
  <c r="AR8" i="16"/>
  <c r="N11" i="18"/>
  <c r="Q11" i="18"/>
  <c r="R11" i="18"/>
  <c r="S11" i="18"/>
  <c r="G9" i="18"/>
  <c r="G10" i="18"/>
  <c r="G11" i="18"/>
  <c r="G12" i="18"/>
  <c r="G8" i="18"/>
  <c r="AT9" i="18"/>
  <c r="AT10" i="18"/>
  <c r="AT11" i="18"/>
  <c r="AT12" i="18"/>
  <c r="AT8" i="18"/>
  <c r="X9" i="18"/>
  <c r="Y9" i="18"/>
  <c r="Z9" i="18"/>
  <c r="X10" i="18"/>
  <c r="Y10" i="18"/>
  <c r="Z10" i="18"/>
  <c r="AS10" i="18"/>
  <c r="Z11" i="18"/>
  <c r="AS11" i="18"/>
  <c r="X12" i="18"/>
  <c r="Y12" i="18"/>
  <c r="Z12" i="18"/>
  <c r="X8" i="18"/>
  <c r="Y8" i="18"/>
  <c r="Z8" i="18"/>
  <c r="E9" i="18"/>
  <c r="H9" i="18"/>
  <c r="E10" i="18"/>
  <c r="H10" i="18"/>
  <c r="AR10" i="18"/>
  <c r="E11" i="18"/>
  <c r="H11" i="18"/>
  <c r="AR11" i="18"/>
  <c r="E12" i="18"/>
  <c r="H12" i="18"/>
  <c r="E8" i="18"/>
  <c r="H8" i="18"/>
  <c r="AD127" i="16"/>
  <c r="AD128" i="16"/>
  <c r="AE128" i="16"/>
  <c r="AF128" i="16"/>
  <c r="AG128" i="16"/>
  <c r="AC129" i="16"/>
  <c r="AD129" i="16"/>
  <c r="AE129" i="16"/>
  <c r="AF129" i="16"/>
  <c r="AG129" i="16"/>
  <c r="AD130" i="16"/>
  <c r="AC126" i="16"/>
  <c r="AD126" i="16"/>
  <c r="AE126" i="16"/>
  <c r="AF126" i="16"/>
  <c r="AG126" i="16"/>
  <c r="AF116" i="16"/>
  <c r="AG116" i="16"/>
  <c r="AC117" i="16"/>
  <c r="AD117" i="16"/>
  <c r="AE117" i="16"/>
  <c r="AF117" i="16"/>
  <c r="AG117" i="16"/>
  <c r="AC118" i="16"/>
  <c r="AD118" i="16"/>
  <c r="AE118" i="16"/>
  <c r="AF118" i="16"/>
  <c r="AG118" i="16"/>
  <c r="AC115" i="16"/>
  <c r="AD115" i="16"/>
  <c r="AE115" i="16"/>
  <c r="AF115" i="16"/>
  <c r="AG115" i="16"/>
  <c r="AD92" i="16"/>
  <c r="AC93" i="16"/>
  <c r="AD93" i="16"/>
  <c r="AD94" i="16"/>
  <c r="AC95" i="16"/>
  <c r="AD95" i="16"/>
  <c r="AE95" i="16"/>
  <c r="AF95" i="16"/>
  <c r="AG95" i="16"/>
  <c r="AD79" i="16"/>
  <c r="AE79" i="16"/>
  <c r="AF79" i="16"/>
  <c r="AG79" i="16"/>
  <c r="AC80" i="16"/>
  <c r="AD80" i="16"/>
  <c r="AC81" i="16"/>
  <c r="AD81" i="16"/>
  <c r="AE81" i="16"/>
  <c r="AF81" i="16"/>
  <c r="AG81" i="16"/>
  <c r="AD82" i="16"/>
  <c r="AE82" i="16"/>
  <c r="AF82" i="16"/>
  <c r="AG82" i="16"/>
  <c r="AC83" i="16"/>
  <c r="AD83" i="16"/>
  <c r="AE83" i="16"/>
  <c r="AF83" i="16"/>
  <c r="AG83" i="16"/>
  <c r="B43" i="25"/>
  <c r="B31" i="25"/>
  <c r="B9" i="25"/>
  <c r="J69" i="25"/>
  <c r="K69" i="25"/>
  <c r="L69" i="25"/>
  <c r="AF38" i="25"/>
  <c r="AG38" i="25"/>
  <c r="R38" i="25"/>
  <c r="S38" i="25"/>
  <c r="AE19" i="25"/>
  <c r="AF19" i="25"/>
  <c r="AG19"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E6" i="25"/>
  <c r="F6"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D161" i="16"/>
  <c r="AE161" i="16"/>
  <c r="AF161" i="16"/>
  <c r="AG161" i="16"/>
  <c r="I161" i="16"/>
  <c r="AC150" i="16"/>
  <c r="AD150" i="16"/>
  <c r="AE150" i="16"/>
  <c r="AF150" i="16"/>
  <c r="AG150" i="16"/>
  <c r="AD151" i="16"/>
  <c r="AC153" i="16"/>
  <c r="AD153" i="16"/>
  <c r="AE153" i="16"/>
  <c r="AF153" i="16"/>
  <c r="AG153" i="16"/>
  <c r="AD152" i="16"/>
  <c r="E148" i="16"/>
  <c r="F148" i="16"/>
  <c r="G148" i="16"/>
  <c r="H148" i="16"/>
  <c r="I148" i="16"/>
  <c r="J148" i="16"/>
  <c r="K148" i="16"/>
  <c r="L148" i="16"/>
  <c r="M148" i="16"/>
  <c r="N148" i="16"/>
  <c r="O148" i="16"/>
  <c r="P148" i="16"/>
  <c r="Q148" i="16"/>
  <c r="R148" i="16"/>
  <c r="S148" i="16"/>
  <c r="T148" i="16"/>
  <c r="U148" i="16"/>
  <c r="V148" i="16"/>
  <c r="W148" i="16"/>
  <c r="X148" i="16"/>
  <c r="Y148" i="16"/>
  <c r="Z148" i="16"/>
  <c r="AA148" i="16"/>
  <c r="AB148" i="16"/>
  <c r="AC148" i="16"/>
  <c r="AD148" i="16"/>
  <c r="AE148" i="16"/>
  <c r="AF148" i="16"/>
  <c r="AG148" i="16"/>
  <c r="AH148" i="16"/>
  <c r="I104" i="16"/>
  <c r="AD103" i="16"/>
  <c r="AE106" i="16"/>
  <c r="AF106" i="16"/>
  <c r="AG106" i="16"/>
  <c r="AC78" i="16"/>
  <c r="AD78" i="16"/>
  <c r="AE78" i="16"/>
  <c r="AF78" i="16"/>
  <c r="AG78" i="16"/>
  <c r="AC55" i="16"/>
  <c r="AD55" i="16"/>
  <c r="AE55" i="16"/>
  <c r="AF55" i="16"/>
  <c r="AG55" i="16"/>
  <c r="AC56" i="16"/>
  <c r="AD56" i="16"/>
  <c r="AD58" i="16"/>
  <c r="AC57" i="16"/>
  <c r="AD57" i="16"/>
  <c r="AD54" i="16"/>
  <c r="AC24" i="16"/>
  <c r="AD24" i="16"/>
  <c r="AE24" i="16"/>
  <c r="AF24" i="16"/>
  <c r="AG24" i="16"/>
  <c r="AH24" i="16"/>
  <c r="AC23" i="16"/>
  <c r="AD23" i="16"/>
  <c r="AE23" i="16"/>
  <c r="AF23" i="16"/>
  <c r="AG23" i="16"/>
  <c r="AC108" i="18"/>
  <c r="AD108" i="18"/>
  <c r="AE108" i="18"/>
  <c r="AF108" i="18"/>
  <c r="AG108" i="18"/>
  <c r="AD106" i="18"/>
  <c r="I106" i="18"/>
  <c r="AE95" i="18"/>
  <c r="AF95" i="18"/>
  <c r="AG95" i="18"/>
  <c r="AA106" i="18"/>
  <c r="AD107" i="18"/>
  <c r="AE107" i="18"/>
  <c r="AF107" i="18"/>
  <c r="AG107" i="18"/>
  <c r="AO109" i="18"/>
  <c r="AD109" i="18"/>
  <c r="AE109" i="18"/>
  <c r="AF109" i="18"/>
  <c r="AG109" i="18"/>
  <c r="I109" i="18"/>
  <c r="AB109" i="18"/>
  <c r="AA109" i="18"/>
  <c r="V104" i="18"/>
  <c r="W104" i="18"/>
  <c r="X104" i="18"/>
  <c r="Y104" i="18"/>
  <c r="Z104" i="18"/>
  <c r="AA104" i="18"/>
  <c r="AB104" i="18"/>
  <c r="AC104" i="18"/>
  <c r="AD104" i="18"/>
  <c r="AE104" i="18"/>
  <c r="AF104" i="18"/>
  <c r="AG104" i="18"/>
  <c r="AH104" i="18"/>
  <c r="E104" i="18"/>
  <c r="F104" i="18"/>
  <c r="G104" i="18"/>
  <c r="H104" i="18"/>
  <c r="I104" i="18"/>
  <c r="J104" i="18"/>
  <c r="K104" i="18"/>
  <c r="L104" i="18"/>
  <c r="M104" i="18"/>
  <c r="N104" i="18"/>
  <c r="O104" i="18"/>
  <c r="P104" i="18"/>
  <c r="Q104" i="18"/>
  <c r="R104" i="18"/>
  <c r="AD86" i="18"/>
  <c r="AE86" i="18"/>
  <c r="AF86" i="18"/>
  <c r="AG86" i="18"/>
  <c r="AC21" i="18"/>
  <c r="AD21" i="18"/>
  <c r="AE21" i="18"/>
  <c r="AF21" i="18"/>
  <c r="AC22" i="18"/>
  <c r="AD22" i="18"/>
  <c r="AE22" i="18"/>
  <c r="AD23" i="18"/>
  <c r="AC24" i="18"/>
  <c r="AD24" i="18"/>
  <c r="AC20" i="18"/>
  <c r="AD20" i="18"/>
  <c r="AE20" i="18"/>
  <c r="AF20" i="18"/>
  <c r="AG20" i="18"/>
  <c r="L71" i="15"/>
  <c r="M71" i="15"/>
  <c r="F71" i="15"/>
  <c r="G71" i="15"/>
  <c r="L38" i="15"/>
  <c r="L37" i="15"/>
  <c r="L35" i="15"/>
  <c r="B9" i="15"/>
  <c r="L9" i="15"/>
  <c r="F10" i="15"/>
  <c r="G10" i="15"/>
  <c r="J10" i="15"/>
  <c r="S10" i="15"/>
  <c r="N10" i="15"/>
  <c r="R10" i="15"/>
  <c r="E10" i="15"/>
  <c r="H10" i="15"/>
  <c r="Q10" i="15"/>
  <c r="J9" i="15"/>
  <c r="J8" i="15"/>
  <c r="S8" i="15"/>
  <c r="E8" i="15"/>
  <c r="H8" i="15"/>
  <c r="Q8" i="15"/>
  <c r="R69" i="15"/>
  <c r="N70" i="15"/>
  <c r="R70" i="15"/>
  <c r="N71" i="15"/>
  <c r="R71" i="15"/>
  <c r="R36" i="15"/>
  <c r="M36" i="15"/>
  <c r="M37" i="15"/>
  <c r="J36" i="15"/>
  <c r="F36" i="15"/>
  <c r="G36" i="15"/>
  <c r="E36" i="15"/>
  <c r="H36" i="15"/>
  <c r="Q36" i="15"/>
  <c r="R37" i="15"/>
  <c r="J37" i="15"/>
  <c r="S37" i="15"/>
  <c r="F37" i="15"/>
  <c r="G37" i="15"/>
  <c r="E37" i="15"/>
  <c r="I37" i="15"/>
  <c r="N9" i="15"/>
  <c r="R9" i="15"/>
  <c r="AC74" i="25"/>
  <c r="AD74" i="25"/>
  <c r="AC75" i="25"/>
  <c r="AC71" i="25"/>
  <c r="AD71" i="25"/>
  <c r="AC72" i="25"/>
  <c r="AD72" i="25"/>
  <c r="AC50" i="25"/>
  <c r="AD50" i="25"/>
  <c r="AC53" i="25"/>
  <c r="AD53" i="25"/>
  <c r="AC52" i="25"/>
  <c r="AD52" i="25"/>
  <c r="AC43" i="25"/>
  <c r="AD43" i="25"/>
  <c r="AC41" i="25"/>
  <c r="AD41" i="25"/>
  <c r="AC42" i="25"/>
  <c r="AD42" i="25"/>
  <c r="AC31" i="25"/>
  <c r="AD31" i="25"/>
  <c r="AC33" i="25"/>
  <c r="AD33" i="25"/>
  <c r="AC32" i="25"/>
  <c r="AD32" i="25"/>
  <c r="AC23" i="25"/>
  <c r="AD23" i="25"/>
  <c r="AC10" i="25"/>
  <c r="AD10" i="25"/>
  <c r="AD97" i="18"/>
  <c r="AE97" i="18"/>
  <c r="AF97" i="18"/>
  <c r="AG97" i="18"/>
  <c r="AD96" i="18"/>
  <c r="AD87" i="18"/>
  <c r="AD98" i="18"/>
  <c r="AD85" i="18"/>
  <c r="AE85" i="18"/>
  <c r="AF85" i="18"/>
  <c r="AG85" i="18"/>
  <c r="AD84" i="18"/>
  <c r="AD74" i="18"/>
  <c r="AD75" i="18"/>
  <c r="AD76" i="18"/>
  <c r="AD73" i="18"/>
  <c r="AD35" i="18"/>
  <c r="AD52" i="18"/>
  <c r="AD53" i="18"/>
  <c r="AE53" i="18"/>
  <c r="AF53" i="18"/>
  <c r="AG53" i="18"/>
  <c r="AD55" i="18"/>
  <c r="AD34" i="18"/>
  <c r="X11" i="18"/>
  <c r="AD91" i="16"/>
  <c r="E76" i="16"/>
  <c r="F76" i="16"/>
  <c r="G76" i="16"/>
  <c r="H76" i="16"/>
  <c r="I76" i="16"/>
  <c r="J76" i="16"/>
  <c r="K76" i="16"/>
  <c r="L76" i="16"/>
  <c r="M76" i="16"/>
  <c r="N76" i="16"/>
  <c r="O76" i="16"/>
  <c r="P76" i="16"/>
  <c r="Q76" i="16"/>
  <c r="R76" i="16"/>
  <c r="S76" i="16"/>
  <c r="T76" i="16"/>
  <c r="U76" i="16"/>
  <c r="V76" i="16"/>
  <c r="W76" i="16"/>
  <c r="X76" i="16"/>
  <c r="Y76" i="16"/>
  <c r="Z76" i="16"/>
  <c r="AA76" i="16"/>
  <c r="AB76" i="16"/>
  <c r="AC76" i="16"/>
  <c r="AD76" i="16"/>
  <c r="AE76" i="16"/>
  <c r="AF76" i="16"/>
  <c r="AG76" i="16"/>
  <c r="AH76" i="16"/>
  <c r="AC21" i="16"/>
  <c r="AD21" i="16"/>
  <c r="AE21" i="16"/>
  <c r="AF21" i="16"/>
  <c r="AG21" i="16"/>
  <c r="AC20" i="16"/>
  <c r="AD20" i="16"/>
  <c r="AE20" i="16"/>
  <c r="AF20" i="16"/>
  <c r="AG20" i="16"/>
  <c r="AD12" i="16"/>
  <c r="AD11" i="16"/>
  <c r="AE11" i="16"/>
  <c r="AF11" i="16"/>
  <c r="AG11" i="16"/>
  <c r="AD10" i="16"/>
  <c r="AE10" i="16"/>
  <c r="AF10" i="16"/>
  <c r="AG10" i="16"/>
  <c r="N39" i="15"/>
  <c r="R39" i="15"/>
  <c r="N38" i="15"/>
  <c r="R38" i="15"/>
  <c r="N35" i="15"/>
  <c r="N8" i="15"/>
  <c r="R8" i="15"/>
  <c r="AE72" i="25"/>
  <c r="AF72" i="25"/>
  <c r="AG72" i="25"/>
  <c r="AC73" i="25"/>
  <c r="AD73" i="25"/>
  <c r="AE40" i="25"/>
  <c r="AF40" i="25"/>
  <c r="AG40" i="25"/>
  <c r="AC22" i="25"/>
  <c r="AD22" i="25"/>
  <c r="AE21" i="25"/>
  <c r="AF21" i="25"/>
  <c r="AG21" i="25"/>
  <c r="AC20" i="25"/>
  <c r="AD20" i="25"/>
  <c r="AC9" i="25"/>
  <c r="AD9" i="25"/>
  <c r="AC12" i="25"/>
  <c r="AD12" i="25"/>
  <c r="AC11" i="25"/>
  <c r="AD11" i="25"/>
  <c r="I51" i="25"/>
  <c r="I20" i="25"/>
  <c r="J70" i="15"/>
  <c r="S70" i="15"/>
  <c r="J71" i="15"/>
  <c r="S71" i="15"/>
  <c r="J69" i="15"/>
  <c r="S69" i="15"/>
  <c r="J39" i="15"/>
  <c r="J38" i="15"/>
  <c r="S38" i="15"/>
  <c r="J35" i="15"/>
  <c r="S35" i="15"/>
  <c r="E39" i="15"/>
  <c r="S39" i="15"/>
  <c r="M39" i="15"/>
  <c r="F39" i="15"/>
  <c r="G39" i="15"/>
  <c r="M70" i="15"/>
  <c r="AE130" i="16"/>
  <c r="AF130" i="16"/>
  <c r="AG130" i="16"/>
  <c r="E69" i="15"/>
  <c r="I69" i="15"/>
  <c r="E70" i="15"/>
  <c r="E71" i="15"/>
  <c r="H71" i="15"/>
  <c r="Q71" i="15"/>
  <c r="E35" i="15"/>
  <c r="H35" i="15"/>
  <c r="Q35" i="15"/>
  <c r="E38" i="15"/>
  <c r="E32" i="15"/>
  <c r="F32" i="15"/>
  <c r="G32" i="15"/>
  <c r="H32" i="15"/>
  <c r="I32" i="15"/>
  <c r="J32" i="15"/>
  <c r="K32" i="15"/>
  <c r="L32" i="15"/>
  <c r="M32" i="15"/>
  <c r="N32" i="15"/>
  <c r="E9" i="15"/>
  <c r="I9" i="15"/>
  <c r="E5" i="15"/>
  <c r="F5" i="15"/>
  <c r="G5" i="15"/>
  <c r="H5" i="15"/>
  <c r="I5" i="15"/>
  <c r="J5" i="15"/>
  <c r="K5" i="15"/>
  <c r="L5" i="15"/>
  <c r="M5" i="15"/>
  <c r="N5" i="15"/>
  <c r="E61" i="15"/>
  <c r="F61" i="15"/>
  <c r="G61" i="15"/>
  <c r="H61" i="15"/>
  <c r="I61" i="15"/>
  <c r="J61" i="15"/>
  <c r="K61" i="15"/>
  <c r="L61" i="15"/>
  <c r="M61" i="15"/>
  <c r="N61" i="15"/>
  <c r="AD164" i="16"/>
  <c r="AE164" i="16"/>
  <c r="AF164" i="16"/>
  <c r="AG164" i="16"/>
  <c r="AD162" i="16"/>
  <c r="AE162" i="16"/>
  <c r="AF162" i="16"/>
  <c r="AG162" i="16"/>
  <c r="AD163" i="16"/>
  <c r="AE163" i="16"/>
  <c r="AF163" i="16"/>
  <c r="AG163" i="16"/>
  <c r="E159" i="16"/>
  <c r="F159" i="16"/>
  <c r="G159" i="16"/>
  <c r="H159" i="16"/>
  <c r="I159" i="16"/>
  <c r="J159" i="16"/>
  <c r="K159" i="16"/>
  <c r="L159" i="16"/>
  <c r="M159" i="16"/>
  <c r="N159" i="16"/>
  <c r="O159" i="16"/>
  <c r="P159" i="16"/>
  <c r="Q159" i="16"/>
  <c r="R159" i="16"/>
  <c r="S159" i="16"/>
  <c r="T159" i="16"/>
  <c r="U159" i="16"/>
  <c r="V159" i="16"/>
  <c r="W159" i="16"/>
  <c r="X159" i="16"/>
  <c r="Y159" i="16"/>
  <c r="Z159" i="16"/>
  <c r="AA159" i="16"/>
  <c r="AB159" i="16"/>
  <c r="AC159" i="16"/>
  <c r="AD159" i="16"/>
  <c r="AE159" i="16"/>
  <c r="AF159" i="16"/>
  <c r="AG159" i="16"/>
  <c r="AH159" i="16"/>
  <c r="AE53" i="25"/>
  <c r="AF53" i="25"/>
  <c r="AG53" i="25"/>
  <c r="G70" i="15"/>
  <c r="M69" i="15"/>
  <c r="F69" i="15"/>
  <c r="G69" i="15"/>
  <c r="M38" i="15"/>
  <c r="F38" i="15"/>
  <c r="G38" i="15"/>
  <c r="S36" i="15"/>
  <c r="M35" i="15"/>
  <c r="F35" i="15"/>
  <c r="G35" i="15"/>
  <c r="R35" i="15"/>
  <c r="M9" i="15"/>
  <c r="F9" i="15"/>
  <c r="G9" i="15"/>
  <c r="S9" i="15"/>
  <c r="M8" i="15"/>
  <c r="F8" i="15"/>
  <c r="G8" i="15"/>
  <c r="I71" i="25"/>
  <c r="I40" i="25"/>
  <c r="E28" i="25"/>
  <c r="F28" i="25"/>
  <c r="G28" i="25"/>
  <c r="H28" i="25"/>
  <c r="I28" i="25"/>
  <c r="J28" i="25"/>
  <c r="K28" i="25"/>
  <c r="L28" i="25"/>
  <c r="M28" i="25"/>
  <c r="N28" i="25"/>
  <c r="O28" i="25"/>
  <c r="P28" i="25"/>
  <c r="Q28" i="25"/>
  <c r="R28" i="25"/>
  <c r="S28" i="25"/>
  <c r="T28" i="25"/>
  <c r="U28" i="25"/>
  <c r="V28" i="25"/>
  <c r="W28" i="25"/>
  <c r="X28" i="25"/>
  <c r="Y28" i="25"/>
  <c r="Z28" i="25"/>
  <c r="AA28" i="25"/>
  <c r="AB28" i="25"/>
  <c r="AC28" i="25"/>
  <c r="AD28" i="25"/>
  <c r="AE28" i="25"/>
  <c r="AF28" i="25"/>
  <c r="AG28" i="25"/>
  <c r="AH28" i="25"/>
  <c r="I23" i="25"/>
  <c r="E136" i="16"/>
  <c r="F136" i="16"/>
  <c r="G136" i="16"/>
  <c r="H136" i="16"/>
  <c r="I136" i="16"/>
  <c r="J136" i="16"/>
  <c r="K136" i="16"/>
  <c r="L136" i="16"/>
  <c r="M136" i="16"/>
  <c r="N136" i="16"/>
  <c r="O136" i="16"/>
  <c r="P136" i="16"/>
  <c r="Q136" i="16"/>
  <c r="R136" i="16"/>
  <c r="S136" i="16"/>
  <c r="T136" i="16"/>
  <c r="U136" i="16"/>
  <c r="V136" i="16"/>
  <c r="W136" i="16"/>
  <c r="X136" i="16"/>
  <c r="Y136" i="16"/>
  <c r="Z136" i="16"/>
  <c r="AA136" i="16"/>
  <c r="AB136" i="16"/>
  <c r="AC136" i="16"/>
  <c r="AD136" i="16"/>
  <c r="AE136" i="16"/>
  <c r="AF136" i="16"/>
  <c r="AG136" i="16"/>
  <c r="AH136" i="16"/>
  <c r="AK126" i="16"/>
  <c r="E124" i="16"/>
  <c r="F124" i="16"/>
  <c r="G124" i="16"/>
  <c r="H124" i="16"/>
  <c r="I124" i="16"/>
  <c r="J124" i="16"/>
  <c r="K124" i="16"/>
  <c r="L124" i="16"/>
  <c r="M124" i="16"/>
  <c r="N124" i="16"/>
  <c r="O124" i="16"/>
  <c r="P124" i="16"/>
  <c r="Q124" i="16"/>
  <c r="R124" i="16"/>
  <c r="S124" i="16"/>
  <c r="T124" i="16"/>
  <c r="U124" i="16"/>
  <c r="V124" i="16"/>
  <c r="W124" i="16"/>
  <c r="X124" i="16"/>
  <c r="Y124" i="16"/>
  <c r="Z124" i="16"/>
  <c r="AA124" i="16"/>
  <c r="AB124" i="16"/>
  <c r="AC124" i="16"/>
  <c r="AD124" i="16"/>
  <c r="AE124" i="16"/>
  <c r="AF124" i="16"/>
  <c r="AG124" i="16"/>
  <c r="AH124" i="16"/>
  <c r="E113" i="16"/>
  <c r="F113" i="16"/>
  <c r="G113" i="16"/>
  <c r="H113" i="16"/>
  <c r="I113" i="16"/>
  <c r="J113" i="16"/>
  <c r="K113" i="16"/>
  <c r="L113" i="16"/>
  <c r="M113" i="16"/>
  <c r="N113" i="16"/>
  <c r="O113" i="16"/>
  <c r="P113" i="16"/>
  <c r="Q113" i="16"/>
  <c r="R113" i="16"/>
  <c r="S113" i="16"/>
  <c r="T113" i="16"/>
  <c r="U113" i="16"/>
  <c r="V113" i="16"/>
  <c r="W113" i="16"/>
  <c r="X113" i="16"/>
  <c r="Y113" i="16"/>
  <c r="Z113" i="16"/>
  <c r="AA113" i="16"/>
  <c r="AB113" i="16"/>
  <c r="AC113" i="16"/>
  <c r="AD113" i="16"/>
  <c r="AE113" i="16"/>
  <c r="AF113" i="16"/>
  <c r="AG113" i="16"/>
  <c r="AH113" i="16"/>
  <c r="AE105" i="16"/>
  <c r="AF105" i="16"/>
  <c r="AG105" i="16"/>
  <c r="E101" i="16"/>
  <c r="F101" i="16"/>
  <c r="G101" i="16"/>
  <c r="H101" i="16"/>
  <c r="I101" i="16"/>
  <c r="J101" i="16"/>
  <c r="K101" i="16"/>
  <c r="L101" i="16"/>
  <c r="M101" i="16"/>
  <c r="N101" i="16"/>
  <c r="O101" i="16"/>
  <c r="P101" i="16"/>
  <c r="Q101" i="16"/>
  <c r="R101" i="16"/>
  <c r="S101" i="16"/>
  <c r="T101" i="16"/>
  <c r="U101" i="16"/>
  <c r="V101" i="16"/>
  <c r="W101" i="16"/>
  <c r="X101" i="16"/>
  <c r="Y101" i="16"/>
  <c r="Z101" i="16"/>
  <c r="AA101" i="16"/>
  <c r="AB101" i="16"/>
  <c r="AC101" i="16"/>
  <c r="AD101" i="16"/>
  <c r="AE101" i="16"/>
  <c r="AF101" i="16"/>
  <c r="AG101" i="16"/>
  <c r="AH101" i="16"/>
  <c r="AE94" i="16"/>
  <c r="AF94" i="16"/>
  <c r="AG94" i="16"/>
  <c r="AE93" i="16"/>
  <c r="AF93" i="16"/>
  <c r="AG93" i="16"/>
  <c r="AE92" i="16"/>
  <c r="AF92" i="16"/>
  <c r="AG92" i="16"/>
  <c r="E89" i="16"/>
  <c r="F89" i="16"/>
  <c r="G89" i="16"/>
  <c r="H89" i="16"/>
  <c r="I89" i="16"/>
  <c r="J89" i="16"/>
  <c r="K89" i="16"/>
  <c r="L89" i="16"/>
  <c r="M89" i="16"/>
  <c r="N89" i="16"/>
  <c r="O89" i="16"/>
  <c r="P89" i="16"/>
  <c r="Q89" i="16"/>
  <c r="R89" i="16"/>
  <c r="S89" i="16"/>
  <c r="T89" i="16"/>
  <c r="U89" i="16"/>
  <c r="V89" i="16"/>
  <c r="W89" i="16"/>
  <c r="X89" i="16"/>
  <c r="Y89" i="16"/>
  <c r="Z89" i="16"/>
  <c r="AA89" i="16"/>
  <c r="AB89" i="16"/>
  <c r="AC89" i="16"/>
  <c r="AD89" i="16"/>
  <c r="AE89" i="16"/>
  <c r="AF89" i="16"/>
  <c r="AG89" i="16"/>
  <c r="AH89" i="16"/>
  <c r="E52" i="16"/>
  <c r="F52" i="16"/>
  <c r="G52" i="16"/>
  <c r="H52" i="16"/>
  <c r="I52" i="16"/>
  <c r="J52" i="16"/>
  <c r="K52" i="16"/>
  <c r="L52" i="16"/>
  <c r="M52" i="16"/>
  <c r="N52" i="16"/>
  <c r="O52" i="16"/>
  <c r="P52" i="16"/>
  <c r="Q52" i="16"/>
  <c r="R52" i="16"/>
  <c r="S52" i="16"/>
  <c r="T52" i="16"/>
  <c r="U52" i="16"/>
  <c r="V52" i="16"/>
  <c r="W52" i="16"/>
  <c r="X52" i="16"/>
  <c r="Y52" i="16"/>
  <c r="Z52" i="16"/>
  <c r="AA52" i="16"/>
  <c r="AB52" i="16"/>
  <c r="AC52" i="16"/>
  <c r="AD52" i="16"/>
  <c r="AE52" i="16"/>
  <c r="AF52" i="16"/>
  <c r="AG52" i="16"/>
  <c r="AH52"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E8" i="16"/>
  <c r="AF8" i="16"/>
  <c r="AG8" i="16"/>
  <c r="E6"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AO97" i="18"/>
  <c r="V93" i="18"/>
  <c r="W93" i="18"/>
  <c r="X93" i="18"/>
  <c r="Y93" i="18"/>
  <c r="Z93" i="18"/>
  <c r="AA93" i="18"/>
  <c r="AB93" i="18"/>
  <c r="AC93" i="18"/>
  <c r="AD93" i="18"/>
  <c r="AE93" i="18"/>
  <c r="AF93" i="18"/>
  <c r="AG93" i="18"/>
  <c r="AH93" i="18"/>
  <c r="E93" i="18"/>
  <c r="F93" i="18"/>
  <c r="G93" i="18"/>
  <c r="H93" i="18"/>
  <c r="I93" i="18"/>
  <c r="J93" i="18"/>
  <c r="K93" i="18"/>
  <c r="L93" i="18"/>
  <c r="M93" i="18"/>
  <c r="N93" i="18"/>
  <c r="O93" i="18"/>
  <c r="P93" i="18"/>
  <c r="Q93" i="18"/>
  <c r="R93" i="18"/>
  <c r="AO98" i="18"/>
  <c r="E82" i="18"/>
  <c r="F82" i="18"/>
  <c r="G82" i="18"/>
  <c r="H82" i="18"/>
  <c r="I82" i="18"/>
  <c r="J82" i="18"/>
  <c r="K82" i="18"/>
  <c r="L82" i="18"/>
  <c r="M82" i="18"/>
  <c r="N82" i="18"/>
  <c r="O82" i="18"/>
  <c r="P82" i="18"/>
  <c r="Q82" i="18"/>
  <c r="R82" i="18"/>
  <c r="S82" i="18"/>
  <c r="T82" i="18"/>
  <c r="U82" i="18"/>
  <c r="V82" i="18"/>
  <c r="W82" i="18"/>
  <c r="X82" i="18"/>
  <c r="Y82" i="18"/>
  <c r="Z82" i="18"/>
  <c r="AA82" i="18"/>
  <c r="AB82" i="18"/>
  <c r="AC82" i="18"/>
  <c r="AD82" i="18"/>
  <c r="AE82" i="18"/>
  <c r="AF82" i="18"/>
  <c r="AG82" i="18"/>
  <c r="AH82" i="18"/>
  <c r="U71" i="18"/>
  <c r="V71" i="18"/>
  <c r="W71" i="18"/>
  <c r="X71" i="18"/>
  <c r="Y71" i="18"/>
  <c r="Z71" i="18"/>
  <c r="AA71" i="18"/>
  <c r="AB71" i="18"/>
  <c r="AC71" i="18"/>
  <c r="AD71" i="18"/>
  <c r="AE71" i="18"/>
  <c r="AF71" i="18"/>
  <c r="AG71" i="18"/>
  <c r="AH71" i="18"/>
  <c r="G71" i="18"/>
  <c r="H71" i="18"/>
  <c r="I71" i="18"/>
  <c r="J71" i="18"/>
  <c r="K71" i="18"/>
  <c r="L71" i="18"/>
  <c r="M71" i="18"/>
  <c r="N71" i="18"/>
  <c r="O71" i="18"/>
  <c r="P71" i="18"/>
  <c r="Q71" i="18"/>
  <c r="AC54" i="18"/>
  <c r="AD54" i="18"/>
  <c r="AE54" i="18"/>
  <c r="AF54" i="18"/>
  <c r="AG54" i="18"/>
  <c r="I52" i="18"/>
  <c r="AB52" i="18"/>
  <c r="G50" i="18"/>
  <c r="H50" i="18"/>
  <c r="I50" i="18"/>
  <c r="J50" i="18"/>
  <c r="K50" i="18"/>
  <c r="L50" i="18"/>
  <c r="M50" i="18"/>
  <c r="N50" i="18"/>
  <c r="O50" i="18"/>
  <c r="P50" i="18"/>
  <c r="Q50" i="18"/>
  <c r="R50" i="18"/>
  <c r="S50" i="18"/>
  <c r="T50" i="18"/>
  <c r="U50" i="18"/>
  <c r="V50" i="18"/>
  <c r="W50" i="18"/>
  <c r="X50" i="18"/>
  <c r="Y50" i="18"/>
  <c r="Z50" i="18"/>
  <c r="AA50" i="18"/>
  <c r="AB50" i="18"/>
  <c r="AC50" i="18"/>
  <c r="AD50" i="18"/>
  <c r="AE50" i="18"/>
  <c r="AF50" i="18"/>
  <c r="AG50" i="18"/>
  <c r="AH50" i="18"/>
  <c r="AC33" i="18"/>
  <c r="AD33" i="18"/>
  <c r="I32" i="18"/>
  <c r="AC32" i="18"/>
  <c r="AD32" i="18"/>
  <c r="AE32" i="18"/>
  <c r="AF32" i="18"/>
  <c r="AG32" i="18"/>
  <c r="E30" i="18"/>
  <c r="F30" i="18"/>
  <c r="G30" i="18"/>
  <c r="H30" i="18"/>
  <c r="I30" i="18"/>
  <c r="J30" i="18"/>
  <c r="K30" i="18"/>
  <c r="L30" i="18"/>
  <c r="M30" i="18"/>
  <c r="N30" i="18"/>
  <c r="O30" i="18"/>
  <c r="P30" i="18"/>
  <c r="Q30" i="18"/>
  <c r="R30" i="18"/>
  <c r="S30" i="18"/>
  <c r="T30" i="18"/>
  <c r="U30" i="18"/>
  <c r="V30" i="18"/>
  <c r="W30" i="18"/>
  <c r="X30" i="18"/>
  <c r="Y30" i="18"/>
  <c r="Z30" i="18"/>
  <c r="AA30" i="18"/>
  <c r="AB30" i="18"/>
  <c r="AC30" i="18"/>
  <c r="AD30" i="18"/>
  <c r="AE30" i="18"/>
  <c r="AF30" i="18"/>
  <c r="AG30" i="18"/>
  <c r="AH30"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C12" i="18"/>
  <c r="AD12" i="18"/>
  <c r="AE12" i="18"/>
  <c r="AF12" i="18"/>
  <c r="AG12" i="18"/>
  <c r="AG11" i="18"/>
  <c r="AC11" i="18"/>
  <c r="AD11" i="18"/>
  <c r="I10" i="18"/>
  <c r="AB10" i="18"/>
  <c r="AC10" i="18"/>
  <c r="AD10" i="18"/>
  <c r="AE10" i="18"/>
  <c r="AF10" i="18"/>
  <c r="AG10" i="18"/>
  <c r="AC9" i="18"/>
  <c r="AD9" i="18"/>
  <c r="AE9" i="18"/>
  <c r="AF9" i="18"/>
  <c r="AG9" i="18"/>
  <c r="AC8" i="18"/>
  <c r="AD8" i="18"/>
  <c r="AE8" i="18"/>
  <c r="AF8" i="18"/>
  <c r="AG8" i="18"/>
  <c r="E6" i="18"/>
  <c r="F6" i="18"/>
  <c r="G6" i="18"/>
  <c r="H6" i="18"/>
  <c r="I6" i="18"/>
  <c r="J6" i="18"/>
  <c r="K6" i="18"/>
  <c r="L6" i="18"/>
  <c r="M6" i="18"/>
  <c r="N6" i="18"/>
  <c r="O6" i="18"/>
  <c r="P6" i="18"/>
  <c r="Q6" i="18"/>
  <c r="R6" i="18"/>
  <c r="S6" i="18"/>
  <c r="T6" i="18"/>
  <c r="U6" i="18"/>
  <c r="V6" i="18"/>
  <c r="W6" i="18"/>
  <c r="X6" i="18"/>
  <c r="Y6" i="18"/>
  <c r="Z6" i="18"/>
  <c r="AA6" i="18"/>
  <c r="AB6" i="18"/>
  <c r="AC6" i="18"/>
  <c r="AD6" i="18"/>
  <c r="AE6" i="18"/>
  <c r="AF6" i="18"/>
  <c r="AG6" i="18"/>
  <c r="AH6" i="18"/>
  <c r="H38" i="15"/>
  <c r="Q38" i="15"/>
  <c r="I38" i="15"/>
  <c r="I8" i="15"/>
  <c r="I70" i="15"/>
  <c r="H70" i="15"/>
  <c r="Q70" i="15"/>
  <c r="H39" i="15"/>
  <c r="Q39" i="15"/>
  <c r="I39" i="15"/>
  <c r="H9" i="15"/>
  <c r="Q9" i="15"/>
  <c r="AE51" i="25"/>
  <c r="AF51" i="25"/>
  <c r="AG51" i="25"/>
  <c r="AH51" i="25"/>
  <c r="AE41" i="25"/>
  <c r="AF41" i="25"/>
  <c r="AG41" i="25"/>
  <c r="AA23" i="25"/>
  <c r="AB23" i="25"/>
  <c r="AE96" i="18"/>
  <c r="AF96" i="18"/>
  <c r="AG96" i="18"/>
  <c r="I24" i="18"/>
  <c r="AE76" i="18"/>
  <c r="AF76" i="18"/>
  <c r="AG76" i="18"/>
  <c r="AE34" i="18"/>
  <c r="AF34" i="18"/>
  <c r="AG34" i="18"/>
  <c r="I35" i="18"/>
  <c r="AE84" i="18"/>
  <c r="AF84" i="18"/>
  <c r="AG84" i="18"/>
  <c r="AE87" i="18"/>
  <c r="AF87" i="18"/>
  <c r="AG87" i="18"/>
  <c r="AE23" i="18"/>
  <c r="AF23" i="18"/>
  <c r="AG23" i="18"/>
  <c r="AG21" i="18"/>
  <c r="AO115" i="16"/>
  <c r="AO94" i="16"/>
  <c r="AO80" i="16"/>
  <c r="AO82" i="16"/>
  <c r="AO52" i="18"/>
  <c r="AA52" i="18"/>
  <c r="AE55" i="18"/>
  <c r="AF55" i="18"/>
  <c r="AG55" i="18"/>
  <c r="AE74" i="18"/>
  <c r="AF74" i="18"/>
  <c r="AG74" i="18"/>
  <c r="AE98" i="18"/>
  <c r="AF98" i="18"/>
  <c r="AG98" i="18"/>
  <c r="AF22" i="18"/>
  <c r="AG22" i="18"/>
  <c r="AE35" i="18"/>
  <c r="AF35" i="18"/>
  <c r="AG35" i="18"/>
  <c r="AE52" i="18"/>
  <c r="AF52" i="18"/>
  <c r="AG52" i="18"/>
  <c r="I95" i="16"/>
  <c r="I139" i="16"/>
  <c r="AO163" i="16"/>
  <c r="I30" i="25"/>
  <c r="AB30" i="25"/>
  <c r="T35" i="15"/>
  <c r="AE31" i="25"/>
  <c r="AF31" i="25"/>
  <c r="AG31" i="25"/>
  <c r="AA82" i="16"/>
  <c r="AA115" i="16"/>
  <c r="I115" i="16"/>
  <c r="AB115" i="16"/>
  <c r="I105" i="16"/>
  <c r="AB105" i="16"/>
  <c r="AA105" i="16"/>
  <c r="AO152" i="16"/>
  <c r="I107" i="16"/>
  <c r="I41" i="25"/>
  <c r="AO22" i="25"/>
  <c r="I52" i="25"/>
  <c r="AB52" i="25"/>
  <c r="AE52" i="25"/>
  <c r="AF52" i="25"/>
  <c r="AG52" i="25"/>
  <c r="AE50" i="25"/>
  <c r="AF50" i="25"/>
  <c r="AG50" i="25"/>
  <c r="I53" i="25"/>
  <c r="AE71" i="25"/>
  <c r="AF71" i="25"/>
  <c r="AG71" i="25"/>
  <c r="AH71" i="25"/>
  <c r="AE30" i="25"/>
  <c r="AF30" i="25"/>
  <c r="AG30" i="25"/>
  <c r="AE11" i="25"/>
  <c r="AF11" i="25"/>
  <c r="AG11" i="25"/>
  <c r="AE12" i="25"/>
  <c r="AF12" i="25"/>
  <c r="AG12" i="25"/>
  <c r="AE22" i="25"/>
  <c r="AF22" i="25"/>
  <c r="AG22" i="25"/>
  <c r="AE73" i="25"/>
  <c r="AF73" i="25"/>
  <c r="AG73" i="25"/>
  <c r="AE8" i="25"/>
  <c r="AF8" i="25"/>
  <c r="AG8" i="25"/>
  <c r="I9" i="25"/>
  <c r="I11" i="25"/>
  <c r="AO73" i="25"/>
  <c r="AA30" i="25"/>
  <c r="AE23" i="25"/>
  <c r="AF23" i="25"/>
  <c r="AG23" i="25"/>
  <c r="AH23" i="25"/>
  <c r="AO21" i="25"/>
  <c r="AO50" i="25"/>
  <c r="AA12" i="25"/>
  <c r="AO12" i="25"/>
  <c r="I33" i="25"/>
  <c r="AA52" i="25"/>
  <c r="I74" i="25"/>
  <c r="I72" i="25"/>
  <c r="AH72" i="25"/>
  <c r="AE9" i="25"/>
  <c r="AF9" i="25"/>
  <c r="AG9" i="25"/>
  <c r="AE10" i="25"/>
  <c r="AF10" i="25"/>
  <c r="AG10" i="25"/>
  <c r="AE32" i="25"/>
  <c r="AF32" i="25"/>
  <c r="AG32" i="25"/>
  <c r="AE42" i="25"/>
  <c r="AF42" i="25"/>
  <c r="AG42" i="25"/>
  <c r="AE20" i="25"/>
  <c r="AF20" i="25"/>
  <c r="AG20" i="25"/>
  <c r="AH20" i="25"/>
  <c r="AB71" i="25"/>
  <c r="AO71" i="25"/>
  <c r="AO53" i="25"/>
  <c r="AO51" i="25"/>
  <c r="AA51" i="25"/>
  <c r="AO10" i="25"/>
  <c r="I31" i="25"/>
  <c r="AO42" i="25"/>
  <c r="AO32" i="25"/>
  <c r="AO52" i="25"/>
  <c r="AH53" i="25"/>
  <c r="AB40" i="25"/>
  <c r="AO40" i="25"/>
  <c r="AA40" i="25"/>
  <c r="AO30" i="25"/>
  <c r="AB72" i="25"/>
  <c r="AA72" i="25"/>
  <c r="AA43" i="25"/>
  <c r="AB9" i="25"/>
  <c r="AA9" i="25"/>
  <c r="AO9" i="25"/>
  <c r="AU126" i="16"/>
  <c r="Q129" i="16"/>
  <c r="R129" i="16"/>
  <c r="S129" i="16"/>
  <c r="Q24" i="16"/>
  <c r="R24" i="16"/>
  <c r="S24" i="16"/>
  <c r="AU24" i="16"/>
  <c r="AE57" i="16"/>
  <c r="AF57" i="16"/>
  <c r="AG57" i="16"/>
  <c r="AS140" i="16"/>
  <c r="I67" i="16"/>
  <c r="AR67" i="16"/>
  <c r="AO150" i="16"/>
  <c r="AO105" i="16"/>
  <c r="AE140" i="16"/>
  <c r="AF140" i="16"/>
  <c r="AG140" i="16"/>
  <c r="AE151" i="16"/>
  <c r="AF151" i="16"/>
  <c r="AG151" i="16"/>
  <c r="I68" i="16"/>
  <c r="AR68" i="16"/>
  <c r="AL70" i="16"/>
  <c r="AV70" i="16"/>
  <c r="AE152" i="16"/>
  <c r="AF152" i="16"/>
  <c r="AG152" i="16"/>
  <c r="AO24" i="16"/>
  <c r="AL67" i="16"/>
  <c r="AV67" i="16"/>
  <c r="AU67" i="16"/>
  <c r="AA24" i="16"/>
  <c r="AE104" i="16"/>
  <c r="AF104" i="16"/>
  <c r="AG104" i="16"/>
  <c r="AH104" i="16"/>
  <c r="AE9" i="16"/>
  <c r="AF9" i="16"/>
  <c r="AG9" i="16"/>
  <c r="I130" i="16"/>
  <c r="AA85" i="18"/>
  <c r="AE75" i="18"/>
  <c r="AF75" i="18"/>
  <c r="AG75" i="18"/>
  <c r="AE24" i="18"/>
  <c r="AF24" i="18"/>
  <c r="AG24" i="18"/>
  <c r="AH24" i="18"/>
  <c r="AO75" i="18"/>
  <c r="AA98" i="18"/>
  <c r="AE73" i="18"/>
  <c r="AF73" i="18"/>
  <c r="AG73" i="18"/>
  <c r="AE33" i="18"/>
  <c r="AF33" i="18"/>
  <c r="AG33" i="18"/>
  <c r="I54" i="18"/>
  <c r="AB54" i="18"/>
  <c r="AB106" i="18"/>
  <c r="AH52" i="18"/>
  <c r="I85" i="18"/>
  <c r="AB85" i="18"/>
  <c r="AO86" i="18"/>
  <c r="AE106" i="18"/>
  <c r="AF106" i="18"/>
  <c r="AG106" i="18"/>
  <c r="AH106" i="18"/>
  <c r="AR53" i="18"/>
  <c r="I53" i="18"/>
  <c r="AS22" i="18"/>
  <c r="AO22" i="18"/>
  <c r="AL53" i="18"/>
  <c r="AV53" i="18"/>
  <c r="AL86" i="18"/>
  <c r="AV86" i="18"/>
  <c r="AL98" i="18"/>
  <c r="AV98" i="18"/>
  <c r="AS8" i="18"/>
  <c r="AO8" i="18"/>
  <c r="AS54" i="18"/>
  <c r="AO54" i="18"/>
  <c r="AA54" i="18"/>
  <c r="AR84" i="18"/>
  <c r="I84" i="18"/>
  <c r="AH84" i="18"/>
  <c r="AR9" i="18"/>
  <c r="I9" i="18"/>
  <c r="AB9" i="18"/>
  <c r="AR21" i="18"/>
  <c r="I21" i="18"/>
  <c r="AH21" i="18"/>
  <c r="AH109" i="18"/>
  <c r="AL75" i="18"/>
  <c r="AV75" i="18"/>
  <c r="AU95" i="18"/>
  <c r="AR22" i="18"/>
  <c r="AA22" i="18"/>
  <c r="I22" i="18"/>
  <c r="AB22" i="18"/>
  <c r="AS34" i="18"/>
  <c r="AO34" i="18"/>
  <c r="AS87" i="18"/>
  <c r="AO87" i="18"/>
  <c r="AR96" i="18"/>
  <c r="I96" i="18"/>
  <c r="AR75" i="18"/>
  <c r="I75" i="18"/>
  <c r="AB75" i="18"/>
  <c r="AA75" i="18"/>
  <c r="AS95" i="18"/>
  <c r="AO95" i="18"/>
  <c r="AV107" i="18"/>
  <c r="AU107" i="18"/>
  <c r="AS35" i="18"/>
  <c r="AB35" i="18"/>
  <c r="AO35" i="18"/>
  <c r="AA35" i="18"/>
  <c r="AS12" i="18"/>
  <c r="AO12" i="18"/>
  <c r="AA12" i="18"/>
  <c r="AS53" i="18"/>
  <c r="AA53" i="18"/>
  <c r="AS73" i="18"/>
  <c r="AO73" i="18"/>
  <c r="AU73" i="18"/>
  <c r="AR108" i="18"/>
  <c r="I108" i="18"/>
  <c r="AH108" i="18"/>
  <c r="AU24" i="18"/>
  <c r="AL95" i="18"/>
  <c r="AV95" i="18"/>
  <c r="AR8" i="18"/>
  <c r="I8" i="18"/>
  <c r="AB8" i="18"/>
  <c r="AA8" i="18"/>
  <c r="AS24" i="18"/>
  <c r="AB24" i="18"/>
  <c r="AA24" i="18"/>
  <c r="AO24" i="18"/>
  <c r="AS33" i="18"/>
  <c r="AO33" i="18"/>
  <c r="AA33" i="18"/>
  <c r="AR55" i="18"/>
  <c r="I55" i="18"/>
  <c r="AH55" i="18"/>
  <c r="I74" i="18"/>
  <c r="AR74" i="18"/>
  <c r="AR86" i="18"/>
  <c r="I86" i="18"/>
  <c r="AH86" i="18"/>
  <c r="AA86" i="18"/>
  <c r="AS96" i="18"/>
  <c r="AO96" i="18"/>
  <c r="AA96" i="18"/>
  <c r="AU108" i="18"/>
  <c r="AL108" i="18"/>
  <c r="AV108" i="18"/>
  <c r="AO10" i="18"/>
  <c r="AR34" i="18"/>
  <c r="I34" i="18"/>
  <c r="AB34" i="18"/>
  <c r="AA34" i="18"/>
  <c r="AA97" i="18"/>
  <c r="I97" i="18"/>
  <c r="AB97" i="18"/>
  <c r="AR97" i="18"/>
  <c r="AS55" i="18"/>
  <c r="AA55" i="18"/>
  <c r="AO55" i="18"/>
  <c r="AR73" i="18"/>
  <c r="AA73" i="18"/>
  <c r="I73" i="18"/>
  <c r="AB73" i="18"/>
  <c r="AS76" i="18"/>
  <c r="AA76" i="18"/>
  <c r="AO76" i="18"/>
  <c r="AS74" i="18"/>
  <c r="AA74" i="18"/>
  <c r="AO74" i="18"/>
  <c r="AR95" i="18"/>
  <c r="I95" i="18"/>
  <c r="AA95" i="18"/>
  <c r="AS9" i="18"/>
  <c r="AO9" i="18"/>
  <c r="AA9" i="18"/>
  <c r="AR20" i="18"/>
  <c r="I20" i="18"/>
  <c r="AH20" i="18"/>
  <c r="AS21" i="18"/>
  <c r="AO21" i="18"/>
  <c r="AA21" i="18"/>
  <c r="AR107" i="18"/>
  <c r="I107" i="18"/>
  <c r="I12" i="18"/>
  <c r="AB12" i="18"/>
  <c r="AR12" i="18"/>
  <c r="AL9" i="18"/>
  <c r="AV9" i="18"/>
  <c r="I23" i="18"/>
  <c r="AB23" i="18"/>
  <c r="AR23" i="18"/>
  <c r="AL12" i="18"/>
  <c r="AV12" i="18"/>
  <c r="AU12" i="18"/>
  <c r="AL21" i="18"/>
  <c r="AV21" i="18"/>
  <c r="AU21" i="18"/>
  <c r="AL22" i="18"/>
  <c r="AV22" i="18"/>
  <c r="AU22" i="18"/>
  <c r="AL54" i="18"/>
  <c r="AV54" i="18"/>
  <c r="AL76" i="18"/>
  <c r="AV76" i="18"/>
  <c r="AU76" i="18"/>
  <c r="AU97" i="18"/>
  <c r="AL97" i="18"/>
  <c r="AV97" i="18"/>
  <c r="AU109" i="18"/>
  <c r="AU35" i="18"/>
  <c r="AU55" i="18"/>
  <c r="AU75" i="18"/>
  <c r="AL87" i="18"/>
  <c r="AV87" i="18"/>
  <c r="AU87" i="18"/>
  <c r="AU106" i="18"/>
  <c r="AV106" i="18"/>
  <c r="AL35" i="18"/>
  <c r="AV35" i="18"/>
  <c r="AU53" i="18"/>
  <c r="AU74" i="18"/>
  <c r="AL74" i="18"/>
  <c r="AV74" i="18"/>
  <c r="AU86" i="18"/>
  <c r="AL32" i="18"/>
  <c r="AV32" i="18"/>
  <c r="AU85" i="18"/>
  <c r="AL85" i="18"/>
  <c r="AV85" i="18"/>
  <c r="AU98" i="18"/>
  <c r="AA150" i="16"/>
  <c r="I150" i="16"/>
  <c r="AB150" i="16"/>
  <c r="AO81" i="16"/>
  <c r="AO153" i="16"/>
  <c r="AO91" i="16"/>
  <c r="AE12" i="16"/>
  <c r="AF12" i="16"/>
  <c r="AG12" i="16"/>
  <c r="AE56" i="16"/>
  <c r="AF56" i="16"/>
  <c r="AG56" i="16"/>
  <c r="AO127" i="16"/>
  <c r="AO118" i="16"/>
  <c r="I78" i="16"/>
  <c r="AB78" i="16"/>
  <c r="AA80" i="16"/>
  <c r="I92" i="16"/>
  <c r="AE107" i="16"/>
  <c r="AF107" i="16"/>
  <c r="AG107" i="16"/>
  <c r="I106" i="16"/>
  <c r="AH106" i="16"/>
  <c r="AE142" i="16"/>
  <c r="AF142" i="16"/>
  <c r="AG142" i="16"/>
  <c r="AB24" i="16"/>
  <c r="I126" i="16"/>
  <c r="AO117" i="16"/>
  <c r="Q106" i="16"/>
  <c r="R106" i="16"/>
  <c r="S106" i="16"/>
  <c r="AL106" i="16"/>
  <c r="AV106" i="16"/>
  <c r="AE34" i="16"/>
  <c r="AF34" i="16"/>
  <c r="AG34" i="16"/>
  <c r="AH34" i="16"/>
  <c r="Q35" i="16"/>
  <c r="R35" i="16"/>
  <c r="S35" i="16"/>
  <c r="Q33" i="16"/>
  <c r="R33" i="16"/>
  <c r="S33" i="16"/>
  <c r="AV33" i="16"/>
  <c r="AR20" i="16"/>
  <c r="I20" i="16"/>
  <c r="AB20" i="16"/>
  <c r="AR128" i="16"/>
  <c r="I128" i="16"/>
  <c r="AR164" i="16"/>
  <c r="I164" i="16"/>
  <c r="AR10" i="16"/>
  <c r="I10" i="16"/>
  <c r="AB10" i="16"/>
  <c r="I129" i="16"/>
  <c r="AB129" i="16"/>
  <c r="Q36" i="16"/>
  <c r="R36" i="16"/>
  <c r="S36" i="16"/>
  <c r="I118" i="16"/>
  <c r="AB118" i="16"/>
  <c r="AS83" i="16"/>
  <c r="AA83" i="16"/>
  <c r="AO83" i="16"/>
  <c r="AS79" i="16"/>
  <c r="AO79" i="16"/>
  <c r="AE141" i="16"/>
  <c r="AF141" i="16"/>
  <c r="AG141" i="16"/>
  <c r="Q127" i="16"/>
  <c r="R127" i="16"/>
  <c r="S127" i="16"/>
  <c r="Q32" i="16"/>
  <c r="R32" i="16"/>
  <c r="S32" i="16"/>
  <c r="AU32" i="16"/>
  <c r="AE32" i="16"/>
  <c r="AF32" i="16"/>
  <c r="AG32" i="16"/>
  <c r="AE54" i="16"/>
  <c r="AF54" i="16"/>
  <c r="AG54" i="16"/>
  <c r="AS10" i="16"/>
  <c r="AO10" i="16"/>
  <c r="AA10" i="16"/>
  <c r="I94" i="16"/>
  <c r="AB94" i="16"/>
  <c r="AR94" i="16"/>
  <c r="AA94" i="16"/>
  <c r="AS161" i="16"/>
  <c r="AO161" i="16"/>
  <c r="AA161" i="16"/>
  <c r="AB161" i="16"/>
  <c r="AR34" i="16"/>
  <c r="AR12" i="16"/>
  <c r="I12" i="16"/>
  <c r="AO12" i="16"/>
  <c r="AS106" i="16"/>
  <c r="AA106" i="16"/>
  <c r="AO106" i="16"/>
  <c r="AS116" i="16"/>
  <c r="AB116" i="16"/>
  <c r="AA116" i="16"/>
  <c r="AO116" i="16"/>
  <c r="I153" i="16"/>
  <c r="AB153" i="16"/>
  <c r="AS11" i="16"/>
  <c r="AO11" i="16"/>
  <c r="AS9" i="16"/>
  <c r="AA9" i="16"/>
  <c r="AO9" i="16"/>
  <c r="AA21" i="16"/>
  <c r="AS107" i="16"/>
  <c r="AR151" i="16"/>
  <c r="I151" i="16"/>
  <c r="AS20" i="16"/>
  <c r="AA20" i="16"/>
  <c r="AO20" i="16"/>
  <c r="AR23" i="16"/>
  <c r="I23" i="16"/>
  <c r="AS78" i="16"/>
  <c r="AA78" i="16"/>
  <c r="AO78" i="16"/>
  <c r="AR79" i="16"/>
  <c r="AA79" i="16"/>
  <c r="I79" i="16"/>
  <c r="AB79" i="16"/>
  <c r="Q23" i="16"/>
  <c r="R23" i="16"/>
  <c r="S23" i="16"/>
  <c r="AR33" i="16"/>
  <c r="Q34" i="16"/>
  <c r="R34" i="16"/>
  <c r="S34" i="16"/>
  <c r="AL34" i="16"/>
  <c r="Q93" i="16"/>
  <c r="R93" i="16"/>
  <c r="S93" i="16"/>
  <c r="AS8" i="16"/>
  <c r="AO8" i="16"/>
  <c r="AL20" i="16"/>
  <c r="AV20" i="16"/>
  <c r="AU20" i="16"/>
  <c r="AU9" i="16"/>
  <c r="AR21" i="16"/>
  <c r="AU12" i="16"/>
  <c r="AL8" i="16"/>
  <c r="AV8" i="16"/>
  <c r="AE22" i="16"/>
  <c r="AF22" i="16"/>
  <c r="AG22" i="16"/>
  <c r="AU92" i="16"/>
  <c r="AL92" i="16"/>
  <c r="AV92" i="16"/>
  <c r="AU21" i="16"/>
  <c r="AU54" i="16"/>
  <c r="AL91" i="16"/>
  <c r="AV91" i="16"/>
  <c r="AU91" i="16"/>
  <c r="AU22" i="16"/>
  <c r="AU82" i="16"/>
  <c r="AU81" i="16"/>
  <c r="AL94" i="16"/>
  <c r="AV94" i="16"/>
  <c r="AU94" i="16"/>
  <c r="AL107" i="16"/>
  <c r="AV107" i="16"/>
  <c r="AU107" i="16"/>
  <c r="AU104" i="16"/>
  <c r="I32" i="16"/>
  <c r="AR32" i="16"/>
  <c r="AS35" i="16"/>
  <c r="AO35" i="16"/>
  <c r="AA35" i="16"/>
  <c r="AS141" i="16"/>
  <c r="AO141" i="16"/>
  <c r="AU161" i="16"/>
  <c r="AL82" i="16"/>
  <c r="AV82" i="16"/>
  <c r="AL128" i="16"/>
  <c r="AV128" i="16"/>
  <c r="AU128" i="16"/>
  <c r="I69" i="16"/>
  <c r="AH69" i="16"/>
  <c r="AU115" i="16"/>
  <c r="AL142" i="16"/>
  <c r="AV142" i="16"/>
  <c r="AU140" i="16"/>
  <c r="AU151" i="16"/>
  <c r="AL153" i="16"/>
  <c r="AV153" i="16"/>
  <c r="AU153" i="16"/>
  <c r="AU152" i="16"/>
  <c r="AL152" i="16"/>
  <c r="AV152" i="16"/>
  <c r="I35" i="16"/>
  <c r="AB35" i="16"/>
  <c r="AR35" i="16"/>
  <c r="AE36" i="16"/>
  <c r="AF36" i="16"/>
  <c r="AG36" i="16"/>
  <c r="AE35" i="16"/>
  <c r="AF35" i="16"/>
  <c r="AG35" i="16"/>
  <c r="Q68" i="16"/>
  <c r="R68" i="16"/>
  <c r="S68" i="16"/>
  <c r="AL58" i="16"/>
  <c r="AV58" i="16"/>
  <c r="AO54" i="16"/>
  <c r="AO55" i="16"/>
  <c r="AS33" i="16"/>
  <c r="AA57" i="16"/>
  <c r="I57" i="16"/>
  <c r="AA32" i="16"/>
  <c r="Y22" i="16"/>
  <c r="Z22" i="16"/>
  <c r="AB130" i="16"/>
  <c r="AB53" i="18"/>
  <c r="AH97" i="18"/>
  <c r="AB74" i="18"/>
  <c r="AB55" i="18"/>
  <c r="AB96" i="18"/>
  <c r="AH95" i="18"/>
  <c r="AB95" i="18"/>
  <c r="AH126" i="16"/>
  <c r="AH164" i="16"/>
  <c r="AR87" i="18"/>
  <c r="I87" i="18"/>
  <c r="AB87" i="18"/>
  <c r="AA87" i="18"/>
  <c r="AR75" i="25"/>
  <c r="I75" i="25"/>
  <c r="AH30" i="25"/>
  <c r="AL8" i="25"/>
  <c r="AV8" i="25"/>
  <c r="Q30" i="25"/>
  <c r="R30" i="25"/>
  <c r="S30" i="25"/>
  <c r="Q41" i="25"/>
  <c r="R41" i="25"/>
  <c r="S41" i="25"/>
  <c r="AU53" i="25"/>
  <c r="Q72" i="25"/>
  <c r="R72" i="25"/>
  <c r="S72" i="25"/>
  <c r="B10" i="15"/>
  <c r="AC9" i="15"/>
  <c r="AU10" i="25"/>
  <c r="Q32" i="25"/>
  <c r="R32" i="25"/>
  <c r="S32" i="25"/>
  <c r="Q40" i="25"/>
  <c r="R40" i="25"/>
  <c r="S40" i="25"/>
  <c r="AL81" i="16"/>
  <c r="AV81" i="16"/>
  <c r="Q42" i="25"/>
  <c r="R42" i="25"/>
  <c r="S42" i="25"/>
  <c r="Q71" i="25"/>
  <c r="R71" i="25"/>
  <c r="S71" i="25"/>
  <c r="Q75" i="25"/>
  <c r="R75" i="25"/>
  <c r="S75" i="25"/>
  <c r="Q73" i="25"/>
  <c r="R73" i="25"/>
  <c r="S73" i="25"/>
  <c r="AE119" i="18"/>
  <c r="AF119" i="18"/>
  <c r="AG119" i="18"/>
  <c r="AS68" i="16"/>
  <c r="AA68" i="16"/>
  <c r="AO68" i="16"/>
  <c r="AE67" i="16"/>
  <c r="AF67" i="16"/>
  <c r="AG67" i="16"/>
  <c r="AH67" i="16"/>
  <c r="AF138" i="16"/>
  <c r="AG138" i="16"/>
  <c r="AH138" i="16"/>
  <c r="AH12" i="16"/>
  <c r="AB68" i="16"/>
  <c r="B10" i="16"/>
  <c r="BC9" i="16"/>
  <c r="B50" i="25"/>
  <c r="BF43" i="25"/>
  <c r="B10" i="25"/>
  <c r="BF9" i="25"/>
  <c r="B32" i="25"/>
  <c r="BF31" i="25"/>
  <c r="AO43" i="25"/>
  <c r="AE43" i="25"/>
  <c r="AF43" i="25"/>
  <c r="AG43" i="25"/>
  <c r="AO107" i="18"/>
  <c r="AS107" i="18"/>
  <c r="AA107" i="18"/>
  <c r="AB107" i="18"/>
  <c r="AH96" i="18"/>
  <c r="AU33" i="18"/>
  <c r="AL33" i="18"/>
  <c r="AV33" i="18"/>
  <c r="AA108" i="18"/>
  <c r="AS108" i="18"/>
  <c r="AO108" i="18"/>
  <c r="AB108" i="18"/>
  <c r="AU54" i="18"/>
  <c r="AU96" i="18"/>
  <c r="B10" i="18"/>
  <c r="BE9" i="18"/>
  <c r="Q121" i="18"/>
  <c r="R121" i="18"/>
  <c r="S121" i="18"/>
  <c r="AL121" i="18"/>
  <c r="AV121" i="18"/>
  <c r="AU32" i="18"/>
  <c r="AL23" i="18"/>
  <c r="AV23" i="18"/>
  <c r="AU23" i="18"/>
  <c r="AU20" i="18"/>
  <c r="AU9" i="18"/>
  <c r="AL105" i="16"/>
  <c r="AV105" i="16"/>
  <c r="AL32" i="16"/>
  <c r="AR8" i="25"/>
  <c r="I8" i="25"/>
  <c r="AA8" i="25"/>
  <c r="AL22" i="25"/>
  <c r="AV22" i="25"/>
  <c r="X75" i="25"/>
  <c r="Y75" i="25"/>
  <c r="Z75" i="25"/>
  <c r="AO75" i="25"/>
  <c r="X74" i="25"/>
  <c r="Q33" i="25"/>
  <c r="R33" i="25"/>
  <c r="S33" i="25"/>
  <c r="AR22" i="25"/>
  <c r="AA22" i="25"/>
  <c r="I22" i="25"/>
  <c r="AB22" i="25"/>
  <c r="AS20" i="25"/>
  <c r="AA20" i="25"/>
  <c r="AO20" i="25"/>
  <c r="AR32" i="25"/>
  <c r="I32" i="25"/>
  <c r="AB32" i="25"/>
  <c r="AA32" i="25"/>
  <c r="AR42" i="25"/>
  <c r="AA42" i="25"/>
  <c r="AR73" i="25"/>
  <c r="I73" i="25"/>
  <c r="AB73" i="25"/>
  <c r="AA73" i="25"/>
  <c r="AS11" i="25"/>
  <c r="AB11" i="25"/>
  <c r="AO11" i="25"/>
  <c r="AA11" i="25"/>
  <c r="AR19" i="25"/>
  <c r="I19" i="25"/>
  <c r="AH19" i="25"/>
  <c r="AR10" i="25"/>
  <c r="I10" i="25"/>
  <c r="AA10" i="25"/>
  <c r="AS19" i="25"/>
  <c r="AO19" i="25"/>
  <c r="AA19" i="25"/>
  <c r="AR21" i="25"/>
  <c r="I21" i="25"/>
  <c r="AB21" i="25"/>
  <c r="AA21" i="25"/>
  <c r="AR50" i="25"/>
  <c r="AA50" i="25"/>
  <c r="I50" i="25"/>
  <c r="AB50" i="25"/>
  <c r="AH31" i="25"/>
  <c r="AI6" i="18"/>
  <c r="AJ6" i="18"/>
  <c r="AK6" i="18"/>
  <c r="AL6" i="18"/>
  <c r="AM6" i="18"/>
  <c r="AN6" i="18"/>
  <c r="AO6" i="18"/>
  <c r="AI18" i="18"/>
  <c r="AJ18" i="18"/>
  <c r="AK18" i="18"/>
  <c r="AL18" i="18"/>
  <c r="AM18" i="18"/>
  <c r="AN18" i="18"/>
  <c r="AO18" i="18"/>
  <c r="AI89" i="16"/>
  <c r="AJ89" i="16"/>
  <c r="AK89" i="16"/>
  <c r="AL89" i="16"/>
  <c r="AM89" i="16"/>
  <c r="AN89" i="16"/>
  <c r="AO89" i="16"/>
  <c r="AI101" i="16"/>
  <c r="AJ101" i="16"/>
  <c r="AK101" i="16"/>
  <c r="AL101" i="16"/>
  <c r="AM101" i="16"/>
  <c r="AN101" i="16"/>
  <c r="AO101" i="16"/>
  <c r="AI124" i="16"/>
  <c r="AJ124" i="16"/>
  <c r="AK124" i="16"/>
  <c r="AL124" i="16"/>
  <c r="AM124" i="16"/>
  <c r="AN124" i="16"/>
  <c r="AO124" i="16"/>
  <c r="AI28" i="25"/>
  <c r="AJ28" i="25"/>
  <c r="AK28" i="25"/>
  <c r="AL28" i="25"/>
  <c r="AM28" i="25"/>
  <c r="AN28" i="25"/>
  <c r="AO28" i="25"/>
  <c r="AB20" i="25"/>
  <c r="AD75" i="25"/>
  <c r="AR80" i="16"/>
  <c r="I80" i="16"/>
  <c r="AB80" i="16"/>
  <c r="AI30" i="16"/>
  <c r="AJ30" i="16"/>
  <c r="AK30" i="16"/>
  <c r="AL30" i="16"/>
  <c r="AM30" i="16"/>
  <c r="AN30" i="16"/>
  <c r="AO30" i="16"/>
  <c r="AH9" i="25"/>
  <c r="AH8" i="25"/>
  <c r="AI30" i="18"/>
  <c r="AJ30" i="18"/>
  <c r="AK30" i="18"/>
  <c r="AL30" i="18"/>
  <c r="AM30" i="18"/>
  <c r="AN30" i="18"/>
  <c r="AO30" i="18"/>
  <c r="AI50" i="18"/>
  <c r="AJ50" i="18"/>
  <c r="AK50" i="18"/>
  <c r="AL50" i="18"/>
  <c r="AM50" i="18"/>
  <c r="AN50" i="18"/>
  <c r="AO50" i="18"/>
  <c r="AI71" i="18"/>
  <c r="AJ71" i="18"/>
  <c r="AK71" i="18"/>
  <c r="AL71" i="18"/>
  <c r="AM71" i="18"/>
  <c r="AN71" i="18"/>
  <c r="AO71" i="18"/>
  <c r="AI93" i="18"/>
  <c r="AJ93" i="18"/>
  <c r="AK93" i="18"/>
  <c r="AL93" i="18"/>
  <c r="AM93" i="18"/>
  <c r="AN93" i="18"/>
  <c r="AO93" i="18"/>
  <c r="T70" i="15"/>
  <c r="AI76" i="16"/>
  <c r="AJ76" i="16"/>
  <c r="AK76" i="16"/>
  <c r="AL76" i="16"/>
  <c r="AM76" i="16"/>
  <c r="AN76" i="16"/>
  <c r="AO76" i="16"/>
  <c r="AI148" i="16"/>
  <c r="AJ148" i="16"/>
  <c r="AK148" i="16"/>
  <c r="AL148" i="16"/>
  <c r="AM148" i="16"/>
  <c r="AN148" i="16"/>
  <c r="AO148" i="16"/>
  <c r="AI6" i="25"/>
  <c r="AJ6" i="25"/>
  <c r="AK6" i="25"/>
  <c r="AL6" i="25"/>
  <c r="AM6" i="25"/>
  <c r="AN6" i="25"/>
  <c r="AO6" i="25"/>
  <c r="AS106" i="18"/>
  <c r="Q119" i="18"/>
  <c r="R119" i="18"/>
  <c r="S119" i="18"/>
  <c r="AU119" i="18"/>
  <c r="AV32" i="16"/>
  <c r="AH73" i="25"/>
  <c r="AH11" i="25"/>
  <c r="AH32" i="18"/>
  <c r="AI82" i="18"/>
  <c r="AJ82" i="18"/>
  <c r="AK82" i="18"/>
  <c r="AL82" i="18"/>
  <c r="AM82" i="18"/>
  <c r="AN82" i="18"/>
  <c r="AO82" i="18"/>
  <c r="AI18" i="16"/>
  <c r="AJ18" i="16"/>
  <c r="AK18" i="16"/>
  <c r="AL18" i="16"/>
  <c r="AM18" i="16"/>
  <c r="AN18" i="16"/>
  <c r="AO18" i="16"/>
  <c r="AI113" i="16"/>
  <c r="AJ113" i="16"/>
  <c r="AK113" i="16"/>
  <c r="AL113" i="16"/>
  <c r="AM113" i="16"/>
  <c r="AN113" i="16"/>
  <c r="AO113" i="16"/>
  <c r="AI136" i="16"/>
  <c r="AJ136" i="16"/>
  <c r="AK136" i="16"/>
  <c r="AL136" i="16"/>
  <c r="AM136" i="16"/>
  <c r="AN136" i="16"/>
  <c r="AO136" i="16"/>
  <c r="AH40" i="25"/>
  <c r="AI17" i="25"/>
  <c r="AJ17" i="25"/>
  <c r="AK17" i="25"/>
  <c r="AL17" i="25"/>
  <c r="AM17" i="25"/>
  <c r="AN17" i="25"/>
  <c r="AO17" i="25"/>
  <c r="AL151" i="16"/>
  <c r="AV151" i="16"/>
  <c r="AI64" i="16"/>
  <c r="AJ64" i="16"/>
  <c r="AK64" i="16"/>
  <c r="AL64" i="16"/>
  <c r="AM64" i="16"/>
  <c r="AN64" i="16"/>
  <c r="AO64" i="16"/>
  <c r="AH22" i="25"/>
  <c r="AH41" i="25"/>
  <c r="AI6" i="16"/>
  <c r="AJ6" i="16"/>
  <c r="AK6" i="16"/>
  <c r="AL6" i="16"/>
  <c r="AM6" i="16"/>
  <c r="AN6" i="16"/>
  <c r="AO6" i="16"/>
  <c r="AI52" i="16"/>
  <c r="AJ52" i="16"/>
  <c r="AK52" i="16"/>
  <c r="AL52" i="16"/>
  <c r="AM52" i="16"/>
  <c r="AN52" i="16"/>
  <c r="AO52" i="16"/>
  <c r="AI159" i="16"/>
  <c r="AJ159" i="16"/>
  <c r="AK159" i="16"/>
  <c r="AL159" i="16"/>
  <c r="AM159" i="16"/>
  <c r="AN159" i="16"/>
  <c r="AO159" i="16"/>
  <c r="L10" i="15"/>
  <c r="M10" i="15"/>
  <c r="T10" i="15"/>
  <c r="AI104" i="18"/>
  <c r="AJ104" i="18"/>
  <c r="AK104" i="18"/>
  <c r="AL104" i="18"/>
  <c r="AM104" i="18"/>
  <c r="AN104" i="18"/>
  <c r="AO104" i="18"/>
  <c r="AL54" i="16"/>
  <c r="AV54" i="16"/>
  <c r="AL104" i="16"/>
  <c r="AV104" i="16"/>
  <c r="AL73" i="18"/>
  <c r="AV73" i="18"/>
  <c r="Q74" i="25"/>
  <c r="R74" i="25"/>
  <c r="S74" i="25"/>
  <c r="AL74" i="25"/>
  <c r="AV74" i="25"/>
  <c r="AI115" i="18"/>
  <c r="AJ115" i="18"/>
  <c r="AK115" i="18"/>
  <c r="AL115" i="18"/>
  <c r="AM115" i="18"/>
  <c r="AN115" i="18"/>
  <c r="AO115" i="18"/>
  <c r="AE121" i="18"/>
  <c r="AF121" i="18"/>
  <c r="AG121" i="18"/>
  <c r="AA8" i="16"/>
  <c r="I8" i="16"/>
  <c r="AB8" i="16"/>
  <c r="AS84" i="18"/>
  <c r="AA84" i="18"/>
  <c r="AO84" i="18"/>
  <c r="AL34" i="18"/>
  <c r="AV34" i="18"/>
  <c r="AU34" i="18"/>
  <c r="AH35" i="18"/>
  <c r="AH54" i="18"/>
  <c r="Q120" i="18"/>
  <c r="R120" i="18"/>
  <c r="S120" i="18"/>
  <c r="AL120" i="18"/>
  <c r="AV120" i="18"/>
  <c r="AH22" i="18"/>
  <c r="AH34" i="18"/>
  <c r="AU84" i="18"/>
  <c r="AH8" i="18"/>
  <c r="AH74" i="18"/>
  <c r="AH53" i="18"/>
  <c r="AL55" i="18"/>
  <c r="AV55" i="18"/>
  <c r="AL84" i="18"/>
  <c r="AV84" i="18"/>
  <c r="AL109" i="18"/>
  <c r="AV109" i="18"/>
  <c r="AL24" i="16"/>
  <c r="AV24" i="16"/>
  <c r="AL22" i="16"/>
  <c r="AV22" i="16"/>
  <c r="AL52" i="18"/>
  <c r="AV52" i="18"/>
  <c r="AL24" i="18"/>
  <c r="AV24" i="18"/>
  <c r="AU11" i="18"/>
  <c r="AU10" i="18"/>
  <c r="AH12" i="18"/>
  <c r="AH10" i="18"/>
  <c r="AH9" i="18"/>
  <c r="AS41" i="25"/>
  <c r="AO41" i="25"/>
  <c r="AA41" i="25"/>
  <c r="AB41" i="25"/>
  <c r="AS75" i="25"/>
  <c r="AB75" i="25"/>
  <c r="AA75" i="25"/>
  <c r="AS31" i="25"/>
  <c r="AA31" i="25"/>
  <c r="AO31" i="25"/>
  <c r="AB31" i="25"/>
  <c r="AU73" i="25"/>
  <c r="AH52" i="25"/>
  <c r="I42" i="25"/>
  <c r="AB42" i="25"/>
  <c r="AU52" i="18"/>
  <c r="AA10" i="18"/>
  <c r="AL10" i="18"/>
  <c r="AV10" i="18"/>
  <c r="AE103" i="16"/>
  <c r="AF103" i="16"/>
  <c r="AG103" i="16"/>
  <c r="AO103" i="16"/>
  <c r="AU11" i="16"/>
  <c r="H69" i="15"/>
  <c r="Q69" i="15"/>
  <c r="AL8" i="18"/>
  <c r="AV8" i="18"/>
  <c r="AU8" i="18"/>
  <c r="AO20" i="18"/>
  <c r="AS20" i="18"/>
  <c r="AB20" i="18"/>
  <c r="AA20" i="18"/>
  <c r="AO32" i="18"/>
  <c r="AS32" i="18"/>
  <c r="AB32" i="18"/>
  <c r="AA32" i="18"/>
  <c r="AB84" i="18"/>
  <c r="AH73" i="18"/>
  <c r="AE120" i="18"/>
  <c r="AF120" i="18"/>
  <c r="AG120" i="18"/>
  <c r="AH87" i="18"/>
  <c r="AH75" i="18"/>
  <c r="AH23" i="18"/>
  <c r="AB86" i="18"/>
  <c r="AL20" i="18"/>
  <c r="AV20" i="18"/>
  <c r="AS8" i="25"/>
  <c r="AB8" i="25"/>
  <c r="AO8" i="25"/>
  <c r="AR12" i="25"/>
  <c r="I12" i="25"/>
  <c r="AB12" i="25"/>
  <c r="Y33" i="25"/>
  <c r="Z33" i="25"/>
  <c r="AE33" i="25"/>
  <c r="AF33" i="25"/>
  <c r="AG33" i="25"/>
  <c r="AH33" i="25"/>
  <c r="I43" i="25"/>
  <c r="AB43" i="25"/>
  <c r="AR43" i="25"/>
  <c r="AU52" i="25"/>
  <c r="AL52" i="25"/>
  <c r="AV52" i="25"/>
  <c r="AA120" i="18"/>
  <c r="AS120" i="18"/>
  <c r="AS85" i="18"/>
  <c r="AO85" i="18"/>
  <c r="B97" i="18"/>
  <c r="BE97" i="18"/>
  <c r="AL12" i="25"/>
  <c r="AV12" i="25"/>
  <c r="AU12" i="25"/>
  <c r="AS23" i="25"/>
  <c r="AO23" i="25"/>
  <c r="AH153" i="16"/>
  <c r="AB106" i="16"/>
  <c r="AB19" i="25"/>
  <c r="AR98" i="18"/>
  <c r="I98" i="18"/>
  <c r="AB98" i="18"/>
  <c r="AS51" i="25"/>
  <c r="AB51" i="25"/>
  <c r="AS71" i="25"/>
  <c r="AA71" i="25"/>
  <c r="AS72" i="25"/>
  <c r="AO72" i="25"/>
  <c r="AH43" i="25"/>
  <c r="AH98" i="18"/>
  <c r="AR33" i="18"/>
  <c r="I33" i="18"/>
  <c r="AB33" i="18"/>
  <c r="AR76" i="18"/>
  <c r="I76" i="18"/>
  <c r="AS53" i="25"/>
  <c r="AB53" i="25"/>
  <c r="AA53" i="25"/>
  <c r="AL71" i="25"/>
  <c r="AV71" i="25"/>
  <c r="AU71" i="25"/>
  <c r="I35" i="15"/>
  <c r="I71" i="15"/>
  <c r="T69" i="15"/>
  <c r="T39" i="15"/>
  <c r="H37" i="15"/>
  <c r="Q37" i="15"/>
  <c r="AU8" i="25"/>
  <c r="Q118" i="18"/>
  <c r="R118" i="18"/>
  <c r="S118" i="18"/>
  <c r="AL118" i="18"/>
  <c r="AV118" i="18"/>
  <c r="AH119" i="18"/>
  <c r="I10" i="15"/>
  <c r="AL83" i="16"/>
  <c r="AV83" i="16"/>
  <c r="AU22" i="25"/>
  <c r="AE117" i="18"/>
  <c r="AF117" i="18"/>
  <c r="AG117" i="18"/>
  <c r="AH121" i="18"/>
  <c r="Q31" i="25"/>
  <c r="R31" i="25"/>
  <c r="S31" i="25"/>
  <c r="AU51" i="25"/>
  <c r="AL73" i="25"/>
  <c r="AV73" i="25"/>
  <c r="AE118" i="18"/>
  <c r="AF118" i="18"/>
  <c r="AG118" i="18"/>
  <c r="Y117" i="18"/>
  <c r="Z117" i="18"/>
  <c r="AA141" i="16"/>
  <c r="AR141" i="16"/>
  <c r="I141" i="16"/>
  <c r="AB141" i="16"/>
  <c r="B56" i="16"/>
  <c r="BC56" i="16"/>
  <c r="AH161" i="16"/>
  <c r="AU164" i="16"/>
  <c r="T8" i="15"/>
  <c r="T9" i="15"/>
  <c r="T38" i="15"/>
  <c r="T37" i="15"/>
  <c r="AB21" i="18"/>
  <c r="AH94" i="16"/>
  <c r="AH107" i="18"/>
  <c r="AH85" i="18"/>
  <c r="T36" i="15"/>
  <c r="T71" i="15"/>
  <c r="I36" i="15"/>
  <c r="AA23" i="18"/>
  <c r="AS23" i="18"/>
  <c r="AL23" i="25"/>
  <c r="AV23" i="25"/>
  <c r="AU23" i="25"/>
  <c r="AU11" i="25"/>
  <c r="AL11" i="25"/>
  <c r="AV11" i="25"/>
  <c r="AL9" i="25"/>
  <c r="AV9" i="25"/>
  <c r="AU9" i="25"/>
  <c r="AU21" i="25"/>
  <c r="AL21" i="25"/>
  <c r="AV21" i="25"/>
  <c r="AU33" i="25"/>
  <c r="AL33" i="25"/>
  <c r="AV33" i="25"/>
  <c r="AR117" i="18"/>
  <c r="I117" i="18"/>
  <c r="AR118" i="18"/>
  <c r="I118" i="18"/>
  <c r="AA118" i="18"/>
  <c r="Y139" i="16"/>
  <c r="Z139" i="16"/>
  <c r="AL32" i="25"/>
  <c r="AV32" i="25"/>
  <c r="AU32" i="25"/>
  <c r="AU40" i="25"/>
  <c r="AL40" i="25"/>
  <c r="AV40" i="25"/>
  <c r="AL41" i="25"/>
  <c r="AV41" i="25"/>
  <c r="AU41" i="25"/>
  <c r="AL42" i="25"/>
  <c r="AV42" i="25"/>
  <c r="AU42" i="25"/>
  <c r="AU103" i="16"/>
  <c r="AU19" i="25"/>
  <c r="AL19" i="25"/>
  <c r="AV19" i="25"/>
  <c r="AU75" i="25"/>
  <c r="AL75" i="25"/>
  <c r="AV75" i="25"/>
  <c r="AL11" i="16"/>
  <c r="AV11" i="16"/>
  <c r="AL9" i="16"/>
  <c r="AV9" i="16"/>
  <c r="AU105" i="16"/>
  <c r="AL96" i="18"/>
  <c r="AV96" i="18"/>
  <c r="AL10" i="25"/>
  <c r="AV10" i="25"/>
  <c r="AL20" i="25"/>
  <c r="AV20" i="25"/>
  <c r="AU20" i="25"/>
  <c r="AL30" i="25"/>
  <c r="AV30" i="25"/>
  <c r="AU30" i="25"/>
  <c r="AU31" i="25"/>
  <c r="AL31" i="25"/>
  <c r="AV31" i="25"/>
  <c r="AL72" i="25"/>
  <c r="AV72" i="25"/>
  <c r="AU72" i="25"/>
  <c r="AL119" i="18"/>
  <c r="AV119" i="18"/>
  <c r="AA117" i="18"/>
  <c r="AO117" i="18"/>
  <c r="AL53" i="25"/>
  <c r="AV53" i="25"/>
  <c r="AU74" i="25"/>
  <c r="Y121" i="18"/>
  <c r="Z121" i="18"/>
  <c r="AO118" i="18"/>
  <c r="AB118" i="18"/>
  <c r="AS118" i="18"/>
  <c r="Q43" i="25"/>
  <c r="R43" i="25"/>
  <c r="S43" i="25"/>
  <c r="AU70" i="16"/>
  <c r="AE66" i="16"/>
  <c r="AF66" i="16"/>
  <c r="AG66" i="16"/>
  <c r="Q117" i="18"/>
  <c r="R117" i="18"/>
  <c r="S117" i="18"/>
  <c r="AO120" i="18"/>
  <c r="AS117" i="18"/>
  <c r="AR121" i="18"/>
  <c r="AR120" i="18"/>
  <c r="I120" i="18"/>
  <c r="Y119" i="18"/>
  <c r="Z119" i="18"/>
  <c r="AR119" i="18"/>
  <c r="AS95" i="16"/>
  <c r="AO95" i="16"/>
  <c r="AA95" i="16"/>
  <c r="I55" i="16"/>
  <c r="AB55" i="16"/>
  <c r="AR55" i="16"/>
  <c r="AL95" i="16"/>
  <c r="AV95" i="16"/>
  <c r="AU95" i="16"/>
  <c r="AL78" i="16"/>
  <c r="AV78" i="16"/>
  <c r="AU78" i="16"/>
  <c r="AR22" i="16"/>
  <c r="I22" i="16"/>
  <c r="AB95" i="16"/>
  <c r="AH8" i="16"/>
  <c r="AL103" i="16"/>
  <c r="AV103" i="16"/>
  <c r="AO128" i="16"/>
  <c r="AH150" i="16"/>
  <c r="AL21" i="16"/>
  <c r="AV21" i="16"/>
  <c r="AU83" i="16"/>
  <c r="AL150" i="16"/>
  <c r="AV150" i="16"/>
  <c r="AU150" i="16"/>
  <c r="AU163" i="16"/>
  <c r="AL163" i="16"/>
  <c r="AV163" i="16"/>
  <c r="AL162" i="16"/>
  <c r="AV162" i="16"/>
  <c r="AU162" i="16"/>
  <c r="AA34" i="16"/>
  <c r="AO34" i="16"/>
  <c r="AU10" i="16"/>
  <c r="AL10" i="16"/>
  <c r="AV10" i="16"/>
  <c r="AR103" i="16"/>
  <c r="I103" i="16"/>
  <c r="AA103" i="16"/>
  <c r="AR117" i="16"/>
  <c r="AA117" i="16"/>
  <c r="I117" i="16"/>
  <c r="AB117" i="16"/>
  <c r="AR152" i="16"/>
  <c r="AA152" i="16"/>
  <c r="I152" i="16"/>
  <c r="AB152" i="16"/>
  <c r="AR93" i="16"/>
  <c r="I93" i="16"/>
  <c r="AB93" i="16"/>
  <c r="AB104" i="16"/>
  <c r="AS104" i="16"/>
  <c r="AO104" i="16"/>
  <c r="AA104" i="16"/>
  <c r="AL141" i="16"/>
  <c r="AV141" i="16"/>
  <c r="AU141" i="16"/>
  <c r="AR70" i="16"/>
  <c r="I70" i="16"/>
  <c r="AL127" i="16"/>
  <c r="AV127" i="16"/>
  <c r="AU127" i="16"/>
  <c r="AL129" i="16"/>
  <c r="AV129" i="16"/>
  <c r="AU129" i="16"/>
  <c r="AE33" i="16"/>
  <c r="AF33" i="16"/>
  <c r="AG33" i="16"/>
  <c r="AH33" i="16"/>
  <c r="AH152" i="16"/>
  <c r="AL12" i="16"/>
  <c r="AV12" i="16"/>
  <c r="AU142" i="16"/>
  <c r="AL115" i="16"/>
  <c r="AV115" i="16"/>
  <c r="AH22" i="16"/>
  <c r="AH35" i="16"/>
  <c r="AS23" i="16"/>
  <c r="AO23" i="16"/>
  <c r="AA23" i="16"/>
  <c r="AS93" i="16"/>
  <c r="AA93" i="16"/>
  <c r="AO93" i="16"/>
  <c r="AA118" i="16"/>
  <c r="AR118" i="16"/>
  <c r="AO130" i="16"/>
  <c r="AA130" i="16"/>
  <c r="AO129" i="16"/>
  <c r="AR153" i="16"/>
  <c r="AA153" i="16"/>
  <c r="AR162" i="16"/>
  <c r="I162" i="16"/>
  <c r="AB162" i="16"/>
  <c r="AS34" i="16"/>
  <c r="AB34" i="16"/>
  <c r="AA12" i="16"/>
  <c r="AS12" i="16"/>
  <c r="AB21" i="16"/>
  <c r="AR58" i="16"/>
  <c r="I58" i="16"/>
  <c r="AR82" i="16"/>
  <c r="I82" i="16"/>
  <c r="AB82" i="16"/>
  <c r="AS126" i="16"/>
  <c r="AB126" i="16"/>
  <c r="AO126" i="16"/>
  <c r="AA126" i="16"/>
  <c r="AA127" i="16"/>
  <c r="AR127" i="16"/>
  <c r="I127" i="16"/>
  <c r="AB127" i="16"/>
  <c r="I36" i="16"/>
  <c r="AB36" i="16"/>
  <c r="AR36" i="16"/>
  <c r="I66" i="16"/>
  <c r="AH66" i="16"/>
  <c r="AR66" i="16"/>
  <c r="AH36" i="16"/>
  <c r="AR9" i="16"/>
  <c r="I9" i="16"/>
  <c r="AS21" i="16"/>
  <c r="AO21" i="16"/>
  <c r="AR91" i="16"/>
  <c r="I91" i="16"/>
  <c r="AB91" i="16"/>
  <c r="AS128" i="16"/>
  <c r="AA128" i="16"/>
  <c r="AS164" i="16"/>
  <c r="AO164" i="16"/>
  <c r="AA164" i="16"/>
  <c r="AH105" i="16"/>
  <c r="AU8" i="16"/>
  <c r="AS91" i="16"/>
  <c r="AA91" i="16"/>
  <c r="AS92" i="16"/>
  <c r="AO92" i="16"/>
  <c r="AA92" i="16"/>
  <c r="AB107" i="16"/>
  <c r="AO107" i="16"/>
  <c r="AA107" i="16"/>
  <c r="AS151" i="16"/>
  <c r="AA151" i="16"/>
  <c r="AO151" i="16"/>
  <c r="AR163" i="16"/>
  <c r="I163" i="16"/>
  <c r="AA163" i="16"/>
  <c r="AO162" i="16"/>
  <c r="AA162" i="16"/>
  <c r="AS162" i="16"/>
  <c r="AB164" i="16"/>
  <c r="AH20" i="16"/>
  <c r="AU106" i="16"/>
  <c r="AH107" i="16"/>
  <c r="AE91" i="16"/>
  <c r="AF91" i="16"/>
  <c r="AG91" i="16"/>
  <c r="AH139" i="16"/>
  <c r="AH151" i="16"/>
  <c r="AB12" i="16"/>
  <c r="AB92" i="16"/>
  <c r="AE80" i="16"/>
  <c r="AF80" i="16"/>
  <c r="AG80" i="16"/>
  <c r="AH80" i="16"/>
  <c r="AE127" i="16"/>
  <c r="AF127" i="16"/>
  <c r="AG127" i="16"/>
  <c r="AL140" i="16"/>
  <c r="AV140" i="16"/>
  <c r="AE68" i="16"/>
  <c r="AF68" i="16"/>
  <c r="AG68" i="16"/>
  <c r="AH68" i="16"/>
  <c r="AE70" i="16"/>
  <c r="AF70" i="16"/>
  <c r="AG70" i="16"/>
  <c r="AB23" i="16"/>
  <c r="AB128" i="16"/>
  <c r="Q69" i="16"/>
  <c r="R69" i="16"/>
  <c r="S69" i="16"/>
  <c r="AU58" i="16"/>
  <c r="AU56" i="16"/>
  <c r="AO139" i="16"/>
  <c r="AA139" i="16"/>
  <c r="AS139" i="16"/>
  <c r="AU139" i="16"/>
  <c r="AL139" i="16"/>
  <c r="AV139" i="16"/>
  <c r="AR140" i="16"/>
  <c r="AR142" i="16"/>
  <c r="AS142" i="16"/>
  <c r="AA140" i="16"/>
  <c r="I140" i="16"/>
  <c r="AO142" i="16"/>
  <c r="AA142" i="16"/>
  <c r="I142" i="16"/>
  <c r="AH142" i="16"/>
  <c r="AH93" i="16"/>
  <c r="AH10" i="16"/>
  <c r="AB139" i="16"/>
  <c r="AA22" i="16"/>
  <c r="AS22" i="16"/>
  <c r="AO22" i="16"/>
  <c r="AB22" i="16"/>
  <c r="AU23" i="16"/>
  <c r="AL23" i="16"/>
  <c r="AV23" i="16"/>
  <c r="AL93" i="16"/>
  <c r="AV93" i="16"/>
  <c r="AU93" i="16"/>
  <c r="AU68" i="16"/>
  <c r="AL68" i="16"/>
  <c r="AV68" i="16"/>
  <c r="AB151" i="16"/>
  <c r="AH79" i="16"/>
  <c r="AH128" i="16"/>
  <c r="AB103" i="16"/>
  <c r="AH103" i="16"/>
  <c r="AH21" i="16"/>
  <c r="AH115" i="16"/>
  <c r="AH118" i="16"/>
  <c r="AH130" i="16"/>
  <c r="AH55" i="16"/>
  <c r="AH78" i="16"/>
  <c r="AH32" i="16"/>
  <c r="AH57" i="16"/>
  <c r="AH129" i="16"/>
  <c r="AH116" i="16"/>
  <c r="Q130" i="16"/>
  <c r="R130" i="16"/>
  <c r="S130" i="16"/>
  <c r="AU66" i="16"/>
  <c r="AL66" i="16"/>
  <c r="AV66" i="16"/>
  <c r="AH23" i="16"/>
  <c r="Y66" i="16"/>
  <c r="Z66" i="16"/>
  <c r="Y69" i="16"/>
  <c r="Z69" i="16"/>
  <c r="Y67" i="16"/>
  <c r="Z67" i="16"/>
  <c r="Y70" i="16"/>
  <c r="Z70" i="16"/>
  <c r="AU34" i="16"/>
  <c r="AV34" i="16"/>
  <c r="AV35" i="16"/>
  <c r="AU35" i="16"/>
  <c r="AO56" i="16"/>
  <c r="AA56" i="16"/>
  <c r="AS56" i="16"/>
  <c r="AU118" i="16"/>
  <c r="AL118" i="16"/>
  <c r="AV118" i="16"/>
  <c r="AV36" i="16"/>
  <c r="AL36" i="16"/>
  <c r="AH95" i="16"/>
  <c r="I54" i="16"/>
  <c r="AB54" i="16"/>
  <c r="AR54" i="16"/>
  <c r="AL57" i="16"/>
  <c r="AV57" i="16"/>
  <c r="AU57" i="16"/>
  <c r="AO57" i="16"/>
  <c r="AB57" i="16"/>
  <c r="AS57" i="16"/>
  <c r="AS55" i="16"/>
  <c r="AA55" i="16"/>
  <c r="AR83" i="16"/>
  <c r="I83" i="16"/>
  <c r="AB83" i="16"/>
  <c r="AU116" i="16"/>
  <c r="AV116" i="16"/>
  <c r="AU36" i="16"/>
  <c r="AU33" i="16"/>
  <c r="AL33" i="16"/>
  <c r="AH117" i="16"/>
  <c r="AA54" i="16"/>
  <c r="AS54" i="16"/>
  <c r="AL55" i="16"/>
  <c r="AV55" i="16"/>
  <c r="AU55" i="16"/>
  <c r="I56" i="16"/>
  <c r="AH56" i="16"/>
  <c r="AR56" i="16"/>
  <c r="AU117" i="16"/>
  <c r="AL117" i="16"/>
  <c r="AV117" i="16"/>
  <c r="AL35" i="16"/>
  <c r="AH92" i="16"/>
  <c r="AR11" i="16"/>
  <c r="I11" i="16"/>
  <c r="AA11" i="16"/>
  <c r="Y58" i="16"/>
  <c r="Z58" i="16"/>
  <c r="AE58" i="16"/>
  <c r="AF58" i="16"/>
  <c r="AG58" i="16"/>
  <c r="AH58" i="16"/>
  <c r="AR81" i="16"/>
  <c r="AA81" i="16"/>
  <c r="I81" i="16"/>
  <c r="AB81" i="16"/>
  <c r="AO36" i="16"/>
  <c r="AS36" i="16"/>
  <c r="AA36" i="16"/>
  <c r="AB32" i="16"/>
  <c r="AO32" i="16"/>
  <c r="AA33" i="16"/>
  <c r="AA129" i="16"/>
  <c r="AB33" i="16"/>
  <c r="AL50" i="25"/>
  <c r="AV50" i="25"/>
  <c r="AU50" i="25"/>
  <c r="B35" i="15"/>
  <c r="AC10" i="15"/>
  <c r="AH83" i="16"/>
  <c r="AH141" i="16"/>
  <c r="B11" i="16"/>
  <c r="BC10" i="16"/>
  <c r="B11" i="25"/>
  <c r="BF10" i="25"/>
  <c r="AH21" i="25"/>
  <c r="AE75" i="25"/>
  <c r="AF75" i="25"/>
  <c r="AG75" i="25"/>
  <c r="AH75" i="25"/>
  <c r="B33" i="25"/>
  <c r="BF33" i="25"/>
  <c r="BF32" i="25"/>
  <c r="B51" i="25"/>
  <c r="BF50" i="25"/>
  <c r="AH118" i="18"/>
  <c r="AU121" i="18"/>
  <c r="AU120" i="18"/>
  <c r="AU118" i="18"/>
  <c r="B11" i="18"/>
  <c r="BE10" i="18"/>
  <c r="AH50" i="25"/>
  <c r="Y74" i="25"/>
  <c r="Z74" i="25"/>
  <c r="AE74" i="25"/>
  <c r="AF74" i="25"/>
  <c r="AG74" i="25"/>
  <c r="AH74" i="25"/>
  <c r="AH32" i="25"/>
  <c r="AH70" i="16"/>
  <c r="AB10" i="25"/>
  <c r="AH10" i="25"/>
  <c r="AH91" i="16"/>
  <c r="AH42" i="25"/>
  <c r="B106" i="18"/>
  <c r="AH120" i="18"/>
  <c r="AH117" i="18"/>
  <c r="AH33" i="18"/>
  <c r="AS33" i="25"/>
  <c r="AO33" i="25"/>
  <c r="AB33" i="25"/>
  <c r="AA33" i="25"/>
  <c r="AH76" i="18"/>
  <c r="AB76" i="18"/>
  <c r="AH12" i="25"/>
  <c r="B57" i="16"/>
  <c r="AB117" i="18"/>
  <c r="AB120" i="18"/>
  <c r="AL43" i="25"/>
  <c r="AV43" i="25"/>
  <c r="AU43" i="25"/>
  <c r="AS121" i="18"/>
  <c r="AO121" i="18"/>
  <c r="AB121" i="18"/>
  <c r="AA121" i="18"/>
  <c r="AH127" i="16"/>
  <c r="AS119" i="18"/>
  <c r="AO119" i="18"/>
  <c r="AB119" i="18"/>
  <c r="AA119" i="18"/>
  <c r="AL117" i="18"/>
  <c r="AV117" i="18"/>
  <c r="AU117" i="18"/>
  <c r="AL80" i="16"/>
  <c r="AV80" i="16"/>
  <c r="AL69" i="16"/>
  <c r="AV69" i="16"/>
  <c r="AU69" i="16"/>
  <c r="AH163" i="16"/>
  <c r="AB163" i="16"/>
  <c r="AB9" i="16"/>
  <c r="AH9" i="16"/>
  <c r="AH82" i="16"/>
  <c r="AH162" i="16"/>
  <c r="AH140" i="16"/>
  <c r="AB140" i="16"/>
  <c r="AB142" i="16"/>
  <c r="AS66" i="16"/>
  <c r="AB66" i="16"/>
  <c r="AA66" i="16"/>
  <c r="AO66" i="16"/>
  <c r="AS70" i="16"/>
  <c r="AA70" i="16"/>
  <c r="AO70" i="16"/>
  <c r="AB70" i="16"/>
  <c r="AU130" i="16"/>
  <c r="AL130" i="16"/>
  <c r="AV130" i="16"/>
  <c r="AS67" i="16"/>
  <c r="AO67" i="16"/>
  <c r="AA67" i="16"/>
  <c r="AB67" i="16"/>
  <c r="AS69" i="16"/>
  <c r="AO69" i="16"/>
  <c r="AA69" i="16"/>
  <c r="AB69" i="16"/>
  <c r="AA58" i="16"/>
  <c r="AO58" i="16"/>
  <c r="AS58" i="16"/>
  <c r="AB58" i="16"/>
  <c r="AB11" i="16"/>
  <c r="AH11" i="16"/>
  <c r="AH54" i="16"/>
  <c r="AB56" i="16"/>
  <c r="AH81" i="16"/>
  <c r="B36" i="15"/>
  <c r="AC35" i="15"/>
  <c r="B58" i="16"/>
  <c r="BC57" i="16"/>
  <c r="B12" i="16"/>
  <c r="BC11" i="16"/>
  <c r="B52" i="25"/>
  <c r="BF51" i="25"/>
  <c r="B12" i="25"/>
  <c r="BF11" i="25"/>
  <c r="B12" i="18"/>
  <c r="BE11" i="18"/>
  <c r="B107" i="18"/>
  <c r="BE107" i="18"/>
  <c r="BE106" i="18"/>
  <c r="AS74" i="25"/>
  <c r="AO74" i="25"/>
  <c r="AA74" i="25"/>
  <c r="AB74" i="25"/>
  <c r="AC36" i="15"/>
  <c r="B37" i="15"/>
  <c r="B20" i="16"/>
  <c r="BC12" i="16"/>
  <c r="B78" i="16"/>
  <c r="BC58" i="16"/>
  <c r="B19" i="25"/>
  <c r="BF12" i="25"/>
  <c r="B53" i="25"/>
  <c r="BF52" i="25"/>
  <c r="B117" i="18"/>
  <c r="B20" i="18"/>
  <c r="BE12" i="18"/>
  <c r="B38" i="15"/>
  <c r="AC37" i="15"/>
  <c r="B81" i="16"/>
  <c r="BC78" i="16"/>
  <c r="B21" i="16"/>
  <c r="BC20" i="16"/>
  <c r="BF53" i="25"/>
  <c r="B71" i="25"/>
  <c r="B20" i="25"/>
  <c r="BF19" i="25"/>
  <c r="B21" i="18"/>
  <c r="BE20" i="18"/>
  <c r="B118" i="18"/>
  <c r="BE118" i="18"/>
  <c r="BE117" i="18"/>
  <c r="B39" i="15"/>
  <c r="AC38" i="15"/>
  <c r="B22" i="16"/>
  <c r="BC21" i="16"/>
  <c r="BC81" i="16"/>
  <c r="B82" i="16"/>
  <c r="B72" i="25"/>
  <c r="BF71" i="25"/>
  <c r="B21" i="25"/>
  <c r="BF20" i="25"/>
  <c r="B22" i="18"/>
  <c r="BE21" i="18"/>
  <c r="B69" i="15"/>
  <c r="AC39" i="15"/>
  <c r="B83" i="16"/>
  <c r="BC82" i="16"/>
  <c r="B23" i="16"/>
  <c r="BC22" i="16"/>
  <c r="B22" i="25"/>
  <c r="BF21" i="25"/>
  <c r="B73" i="25"/>
  <c r="BF72" i="25"/>
  <c r="B23" i="18"/>
  <c r="BE22" i="18"/>
  <c r="B70" i="15"/>
  <c r="AC69" i="15"/>
  <c r="B24" i="16"/>
  <c r="BC23" i="16"/>
  <c r="BC83" i="16"/>
  <c r="B103" i="16"/>
  <c r="B74" i="25"/>
  <c r="BF73" i="25"/>
  <c r="B23" i="25"/>
  <c r="BF23" i="25"/>
  <c r="BF22" i="25"/>
  <c r="B24" i="18"/>
  <c r="BE23" i="18"/>
  <c r="B71" i="15"/>
  <c r="AC71" i="15"/>
  <c r="AC70" i="15"/>
  <c r="B128" i="16"/>
  <c r="BC128" i="16"/>
  <c r="BC103" i="16"/>
  <c r="B32" i="16"/>
  <c r="BC24" i="16"/>
  <c r="B75" i="25"/>
  <c r="BF75" i="25"/>
  <c r="BF74" i="25"/>
  <c r="B32" i="18"/>
  <c r="BE24" i="18"/>
  <c r="B33" i="16"/>
  <c r="BC32" i="16"/>
  <c r="B33" i="18"/>
  <c r="BE32" i="18"/>
  <c r="B34" i="16"/>
  <c r="BC33" i="16"/>
  <c r="B34" i="18"/>
  <c r="BE33" i="18"/>
  <c r="B35" i="16"/>
  <c r="BC34" i="16"/>
  <c r="B35" i="18"/>
  <c r="BE34" i="18"/>
  <c r="B36" i="16"/>
  <c r="BC35" i="16"/>
  <c r="B52" i="18"/>
  <c r="BE35" i="18"/>
  <c r="B54" i="16"/>
  <c r="BC36" i="16"/>
  <c r="B53" i="18"/>
  <c r="BE52" i="18"/>
  <c r="BC54" i="16"/>
  <c r="B66" i="16"/>
  <c r="B54" i="18"/>
  <c r="BE53" i="18"/>
  <c r="BC66" i="16"/>
  <c r="B67" i="16"/>
  <c r="B55" i="18"/>
  <c r="BE54" i="18"/>
  <c r="B68" i="16"/>
  <c r="BC67" i="16"/>
  <c r="BE55" i="18"/>
  <c r="B74" i="18"/>
  <c r="B69" i="16"/>
  <c r="BC68" i="16"/>
  <c r="B75" i="18"/>
  <c r="BE74" i="18"/>
  <c r="B70" i="16"/>
  <c r="BC69" i="16"/>
  <c r="B76" i="18"/>
  <c r="BE75" i="18"/>
  <c r="BC70" i="16"/>
  <c r="B79" i="16"/>
  <c r="B85" i="18"/>
  <c r="BE76" i="18"/>
  <c r="B80" i="16"/>
  <c r="BC79" i="16"/>
  <c r="B86" i="18"/>
  <c r="BE85" i="18"/>
  <c r="BC80" i="16"/>
  <c r="B91" i="16"/>
  <c r="B87" i="18"/>
  <c r="BE86" i="18"/>
  <c r="BC91" i="16"/>
  <c r="B92" i="16"/>
  <c r="B98" i="18"/>
  <c r="BE87" i="18"/>
  <c r="B93" i="16"/>
  <c r="BC92" i="16"/>
  <c r="B108" i="18"/>
  <c r="BE98" i="18"/>
  <c r="B94" i="16"/>
  <c r="BC93" i="16"/>
  <c r="BE108" i="18"/>
  <c r="B109" i="18"/>
  <c r="B95" i="16"/>
  <c r="BC94" i="16"/>
  <c r="B119" i="18"/>
  <c r="BE109" i="18"/>
  <c r="BC95" i="16"/>
  <c r="B104" i="16"/>
  <c r="BE119" i="18"/>
  <c r="B120" i="18"/>
  <c r="B105" i="16"/>
  <c r="BC104" i="16"/>
  <c r="B121" i="18"/>
  <c r="BE121" i="18"/>
  <c r="BE120" i="18"/>
  <c r="B106" i="16"/>
  <c r="BC105" i="16"/>
  <c r="B107" i="16"/>
  <c r="BC106" i="16"/>
  <c r="BC107" i="16"/>
  <c r="B115" i="16"/>
  <c r="B116" i="16"/>
  <c r="BC115" i="16"/>
  <c r="B117" i="16"/>
  <c r="BC116" i="16"/>
  <c r="B118" i="16"/>
  <c r="BC117" i="16"/>
  <c r="B126" i="16"/>
  <c r="BC118" i="16"/>
  <c r="B127" i="16"/>
  <c r="BC126" i="16"/>
  <c r="BC127" i="16"/>
  <c r="B129" i="16"/>
  <c r="B130" i="16"/>
  <c r="BC129" i="16"/>
  <c r="B138" i="16"/>
  <c r="BC130" i="16"/>
  <c r="B139" i="16"/>
  <c r="BC138" i="16"/>
  <c r="B140" i="16"/>
  <c r="BC139" i="16"/>
  <c r="B141" i="16"/>
  <c r="BC140" i="16"/>
  <c r="B142" i="16"/>
  <c r="BC141" i="16"/>
  <c r="B150" i="16"/>
  <c r="BC142" i="16"/>
  <c r="B151" i="16"/>
  <c r="BC150" i="16"/>
  <c r="B152" i="16"/>
  <c r="BC151" i="16"/>
  <c r="B153" i="16"/>
  <c r="BC152" i="16"/>
  <c r="B161" i="16"/>
  <c r="BC153" i="16"/>
  <c r="B162" i="16"/>
  <c r="BC161" i="16"/>
  <c r="B163" i="16"/>
  <c r="BC162" i="16"/>
  <c r="B164" i="16"/>
  <c r="BC164" i="16"/>
  <c r="BC163" i="16"/>
</calcChain>
</file>

<file path=xl/sharedStrings.xml><?xml version="1.0" encoding="utf-8"?>
<sst xmlns="http://schemas.openxmlformats.org/spreadsheetml/2006/main" count="3463" uniqueCount="1255">
  <si>
    <t>Round Trip Door-to-Door Air Total Travel Time = ( 2*flight times) + (2*71 minutes) of access+egress times + (2*45minutes) of extra time above that of HSR wait time for airport security</t>
  </si>
  <si>
    <t>Calculation is =  (2*flight times) + 98minutes (2*49) of access+egress for outbound trip AND 98minutes (2*49) for return trip + (2*45minutes) extra time for security at the Origin and Destination airports</t>
  </si>
  <si>
    <t xml:space="preserve">Calculation is =  (2*flight times) + 98minutes (2*49) of access+egress for outbound trip AND 98minutes (2*49) for return trip + (2*45minutes) extra time for security at the Origin and Destination airports
</t>
  </si>
  <si>
    <t>n.b. calculation is (2*flight time) + 98minutes (2*49) of access+egress for outbound trip AND 98minutes ((2*49) for return trip + (2*45minutes) extra for security at the Origin and Destination airports</t>
  </si>
  <si>
    <t>Round Trip Door-to-Door Air Total Travel Time = ( 2*flight times) + (2*71minutes) of access+egress times + (2*45minutes) of extra time above that of HSR wait time for airport security</t>
  </si>
  <si>
    <r>
      <rPr>
        <b/>
        <sz val="9"/>
        <color indexed="18"/>
        <rFont val="Calibri"/>
        <family val="2"/>
      </rPr>
      <t>These are Total Travel Costs and Total Travel Time comparisons</t>
    </r>
    <r>
      <rPr>
        <sz val="9"/>
        <color indexed="18"/>
        <rFont val="Calibri"/>
        <family val="2"/>
      </rPr>
      <t xml:space="preserve">. Caltrain, Amtrak San Joaquin Valley and Metrolink operate with state/federal subsidies.  The Authority's fares are supposedly not reliant on operating subsidies to have the HSR system operationally profitable. </t>
    </r>
  </si>
  <si>
    <t xml:space="preserve">Name of Origin and Destination and one-way HSR miles between the stations. Note that HSR miles are often longer than driving </t>
  </si>
  <si>
    <t>No prior-to-HSR-travel by BART, Metrolink, Amtrak or an Authority Dedicated Bus in these calculations</t>
  </si>
  <si>
    <t>San Jose-Gilroy/                 30miles</t>
  </si>
  <si>
    <t>Fresno-KT Hanford/                                             44miles</t>
  </si>
  <si>
    <t>Merced-Fresno/                                                        59miles</t>
  </si>
  <si>
    <t>KT Hanford-Bakersfield/                                             63miles</t>
  </si>
  <si>
    <t>OC Gateway-Fresno/281miles</t>
  </si>
  <si>
    <r>
      <t>Sacramento-Anaheim</t>
    </r>
    <r>
      <rPr>
        <b/>
        <sz val="7"/>
        <rFont val="Calibri"/>
        <family val="2"/>
      </rPr>
      <t>/                                         470miles</t>
    </r>
  </si>
  <si>
    <t>IOS Norrth: Travel time by Authority bus or BART after HSR travel</t>
  </si>
  <si>
    <r>
      <t>Burbank-Gilroy (BUR)</t>
    </r>
    <r>
      <rPr>
        <b/>
        <sz val="7"/>
        <color indexed="8"/>
        <rFont val="Calibri"/>
        <family val="2"/>
      </rPr>
      <t>/                                                 382miles</t>
    </r>
  </si>
  <si>
    <t xml:space="preserve"> Travel to/from South Lake Tahoe. The nearest HSR station is in Sacramento (SACOG), therefore Authority-based travel starts there. The nearest commercial airport, 85miles, is Reno, NV, which is a shorter drive than to Truckee, CA, therefore used in these calculations. </t>
  </si>
  <si>
    <r>
      <t>Sacramento-</t>
    </r>
    <r>
      <rPr>
        <b/>
        <sz val="9"/>
        <color indexed="8"/>
        <rFont val="Calibri"/>
        <family val="2"/>
      </rPr>
      <t>Burbank (</t>
    </r>
    <r>
      <rPr>
        <b/>
        <sz val="9"/>
        <color indexed="8"/>
        <rFont val="Calibri"/>
        <family val="2"/>
      </rPr>
      <t>BUR</t>
    </r>
    <r>
      <rPr>
        <b/>
        <sz val="9"/>
        <color indexed="8"/>
        <rFont val="Calibri"/>
        <family val="2"/>
      </rPr>
      <t>)</t>
    </r>
    <r>
      <rPr>
        <b/>
        <sz val="7"/>
        <color indexed="8"/>
        <rFont val="Calibri"/>
        <family val="2"/>
      </rPr>
      <t>/                     437miles</t>
    </r>
  </si>
  <si>
    <t>San Jose-Gilroy/30miles</t>
  </si>
  <si>
    <t>Fresno-KT Hanford/44miles</t>
  </si>
  <si>
    <t>SF-San Jose 48miles</t>
  </si>
  <si>
    <t>See notes on p. A-3 [PDF 63] of 2016 Business Plan, Ridership and Revenue Forecasting, Technical Supporting Document</t>
  </si>
  <si>
    <t xml:space="preserve">HSR – Total Travel Times </t>
  </si>
  <si>
    <t>HSR – Total Travel Costs using Formulas</t>
  </si>
  <si>
    <t>HSR – Total Travel Costs using Table 3.1</t>
  </si>
  <si>
    <t>Air Travel - Total Travel Times &amp; Total Travel Costs</t>
  </si>
  <si>
    <t>Additonal minutes gained traveling Round-Trip Door-to-Door ( D2D) using Air versus HSR</t>
  </si>
  <si>
    <t>Minutes gained traveling round-trip Door-to-Door using Air + (2*45minutes for security) versus HSR</t>
  </si>
  <si>
    <t>Auto Travel - Distances + Total Travel Times &amp; Costs</t>
  </si>
  <si>
    <t>A</t>
  </si>
  <si>
    <t>B</t>
  </si>
  <si>
    <t>C</t>
  </si>
  <si>
    <t>D</t>
  </si>
  <si>
    <t>E</t>
  </si>
  <si>
    <t>F</t>
  </si>
  <si>
    <t>Burbank-Merced/                             320miles</t>
  </si>
  <si>
    <t>Anaheim-Merced/                                       353miles</t>
  </si>
  <si>
    <t xml:space="preserve">Based on Table A.2.1 p. A-2 [PDF 62] of the 2016 Business Plan, Ridership and Revenue Forecasting, Technical Supporting Document, which says Transfer Time is 15minutes, then a similar logic follows.  </t>
  </si>
  <si>
    <t>Minutes saved traveling round-trip Door-to-Door using Air travel - includes 90 (2*45) minutes for airport security not added for HSR travel</t>
  </si>
  <si>
    <t>Auto Travel – Distances,Total Travel Times &amp; Total Travel Costs</t>
  </si>
  <si>
    <t>na</t>
  </si>
  <si>
    <t>No prior-to-HSR-travel by BART, Metrolink, Amtrak or an Authority Dedicated Bus in these calculations. 22 minutes are added for OC Gateway (Norwalk)-LAUS and 42minutes are added for Anaheim-LAUS Metrolink travel. Metrolink LAUS-OC Gateway fare is $6.50 and  Anaheim-LAUS fare is $8.75.</t>
  </si>
  <si>
    <t>Fresno-Burbank (BUR)/                         261miles</t>
  </si>
  <si>
    <t>39minutes are added for Anaheim-LAUS Metrolink travel. Metrolink Anaheim-LAUS fare is $8.75 and $6.50 for LAUS-OC Gateway (Norwalk)</t>
  </si>
  <si>
    <t>Fresno-Anaheim/                                         294miles</t>
  </si>
  <si>
    <t>Merced-OC Gateway/                                      340miles</t>
  </si>
  <si>
    <r>
      <t xml:space="preserve">Fight advance purchases found at: </t>
    </r>
    <r>
      <rPr>
        <sz val="6"/>
        <color indexed="12"/>
        <rFont val="Calibri"/>
        <family val="2"/>
      </rPr>
      <t>https://www.kayak.com/flights/</t>
    </r>
    <r>
      <rPr>
        <sz val="6"/>
        <color indexed="18"/>
        <rFont val="Calibri"/>
        <family val="2"/>
      </rPr>
      <t>. See Screen Shots to/from folder</t>
    </r>
  </si>
  <si>
    <r>
      <rPr>
        <sz val="6"/>
        <color indexed="18"/>
        <rFont val="Calibri"/>
        <family val="2"/>
      </rPr>
      <t xml:space="preserve">Fight advance purchases found at: </t>
    </r>
    <r>
      <rPr>
        <sz val="6"/>
        <color indexed="12"/>
        <rFont val="Calibri"/>
        <family val="2"/>
      </rPr>
      <t>https://www.kayak.com/flights/.</t>
    </r>
    <r>
      <rPr>
        <sz val="6"/>
        <color indexed="18"/>
        <rFont val="Calibri"/>
        <family val="2"/>
      </rPr>
      <t xml:space="preserve"> See Screen Shots to/from folder</t>
    </r>
  </si>
  <si>
    <r>
      <rPr>
        <sz val="6"/>
        <color indexed="18"/>
        <rFont val="Calibri"/>
        <family val="2"/>
      </rPr>
      <t xml:space="preserve">Fight advance purchases found at: </t>
    </r>
    <r>
      <rPr>
        <sz val="6"/>
        <color indexed="12"/>
        <rFont val="Calibri"/>
        <family val="2"/>
      </rPr>
      <t>https://www.kayak.com/flights/</t>
    </r>
    <r>
      <rPr>
        <sz val="6"/>
        <color indexed="18"/>
        <rFont val="Calibri"/>
        <family val="2"/>
      </rPr>
      <t>. See Screen Shots to/from folder</t>
    </r>
  </si>
  <si>
    <r>
      <rPr>
        <sz val="6"/>
        <color indexed="18"/>
        <rFont val="Calibri Body"/>
      </rPr>
      <t xml:space="preserve">Fight advance purchases found at: </t>
    </r>
    <r>
      <rPr>
        <sz val="6"/>
        <color indexed="12"/>
        <rFont val="Calibri Body"/>
      </rPr>
      <t>https://www.kayak.com/flights/</t>
    </r>
    <r>
      <rPr>
        <sz val="6"/>
        <color indexed="18"/>
        <rFont val="Calibri Body"/>
      </rPr>
      <t>. See Screen Shots to/from folder</t>
    </r>
  </si>
  <si>
    <t>n.a</t>
  </si>
  <si>
    <t>The transfer time for Amtrak to HSR is 30minutes because Amtrak only runs hourly</t>
  </si>
  <si>
    <t>Giroy-KT Hanford/165miles</t>
  </si>
  <si>
    <t>Oakland-KT Hanford/253miles</t>
  </si>
  <si>
    <t>H</t>
  </si>
  <si>
    <t>Wait times or Transfer Times are found at A.3.1, p. A-3 [PDF 63] of the 2016 Ridership and Revenue Forecasting, Technical Supporting Document</t>
  </si>
  <si>
    <t>As with transfer times between Authority bus and HSR services, a 15minute Transfer Time is assumed. For example, see Table A 2.1, p. A-2 PDF 62] of 2016 Business Plan's Ridership and Revenue Forecasting, Technical Supporting Document</t>
  </si>
  <si>
    <t>Monterey-Redding/                                        556miles</t>
  </si>
  <si>
    <t>Monterey-South Lake Tahoe/                            499miles</t>
  </si>
  <si>
    <t>Santa Barbara-Redding/                                  695miles</t>
  </si>
  <si>
    <t>Santa Barbara-S. Lake Tahoe/                             638miles</t>
  </si>
  <si>
    <r>
      <t xml:space="preserve"> The Greyhound bus fare Sacramento-South Lake Tahoe (Truckee) is $25: Sacramento-Redding is $28. See: </t>
    </r>
    <r>
      <rPr>
        <sz val="6"/>
        <color indexed="12"/>
        <rFont val="Calibri"/>
        <family val="2"/>
      </rPr>
      <t>https://www.greyhound.com/en/ecommerce/schedule</t>
    </r>
  </si>
  <si>
    <t>South Lake Tahoe-San Jose/                               425miles</t>
  </si>
  <si>
    <t>South Lake Tahoe-Fresno/                                      274miles</t>
  </si>
  <si>
    <t>South Lake-San Diego/                                         661miles</t>
  </si>
  <si>
    <t>Monterey-Santa Barbara/                   585miles</t>
  </si>
  <si>
    <t>Redding-San Jose/                                  522miles</t>
  </si>
  <si>
    <t>Redding-Fresno/                                          323miles</t>
  </si>
  <si>
    <t>Redding-San Diego/                                          710miles</t>
  </si>
  <si>
    <t>Gilroy-Fresno/121miles</t>
  </si>
  <si>
    <t>San Jose-Fresno/151miles</t>
  </si>
  <si>
    <t>J</t>
  </si>
  <si>
    <t>OC Gateway-Bakersfield/               174miles</t>
  </si>
  <si>
    <t>n. a.</t>
  </si>
  <si>
    <r>
      <t>San Jose-Merced</t>
    </r>
    <r>
      <rPr>
        <b/>
        <sz val="9"/>
        <rFont val="Calibri"/>
        <family val="2"/>
      </rPr>
      <t>/210miles</t>
    </r>
  </si>
  <si>
    <t>Oakland-Fresno/209miles</t>
  </si>
  <si>
    <t>Oakland-Bakersfield/316miles</t>
  </si>
  <si>
    <t>Oakland-Fresno/             209miles</t>
  </si>
  <si>
    <t>Oakland-KT Hanford/                253miles</t>
  </si>
  <si>
    <t>Oakland-Merced/                       268miles</t>
  </si>
  <si>
    <t>Oakland-Bakersfield/                            316miles</t>
  </si>
  <si>
    <t>Oakland-Sacramento/                                324miles</t>
  </si>
  <si>
    <t xml:space="preserve"> </t>
  </si>
  <si>
    <r>
      <t>San Jose-Anaheim</t>
    </r>
    <r>
      <rPr>
        <b/>
        <sz val="7"/>
        <color indexed="8"/>
        <rFont val="Calibri"/>
        <family val="2"/>
      </rPr>
      <t>/                         445miles</t>
    </r>
  </si>
  <si>
    <r>
      <t>OC Gateway</t>
    </r>
    <r>
      <rPr>
        <b/>
        <sz val="9"/>
        <color indexed="8"/>
        <rFont val="Calibri"/>
        <family val="2"/>
      </rPr>
      <t xml:space="preserve"> (Norwalk)</t>
    </r>
    <r>
      <rPr>
        <b/>
        <sz val="9"/>
        <color indexed="8"/>
        <rFont val="Calibri"/>
        <family val="2"/>
      </rPr>
      <t xml:space="preserve">-Gilroy </t>
    </r>
    <r>
      <rPr>
        <b/>
        <sz val="7"/>
        <color indexed="8"/>
        <rFont val="Calibri"/>
        <family val="2"/>
      </rPr>
      <t>/                 402miles</t>
    </r>
  </si>
  <si>
    <t>Merced-Gilroy/                                               180miles</t>
  </si>
  <si>
    <t>Bakersfield-Anaheim/                                                    187miles</t>
  </si>
  <si>
    <t>San Jose-Merced/                                      210miles</t>
  </si>
  <si>
    <t>I</t>
  </si>
  <si>
    <t>Monterey-Sacramento/                          396miles</t>
  </si>
  <si>
    <t>Monterey-Fresno/                                    225miles</t>
  </si>
  <si>
    <t>Monterey-San Diego/                                612miles</t>
  </si>
  <si>
    <t>A.</t>
  </si>
  <si>
    <t>Origins &amp; Destinations – Total one-way miles traveled by an Authority customer, including via HSR, Authority Bus, Auto, Greyhound Bus, etc.</t>
  </si>
  <si>
    <t>OC Gateway (Norwalk)-Fresno/                             281miles</t>
  </si>
  <si>
    <t xml:space="preserve">Elements of HSR Authority's Table 3.1-based Total Travel Costs    </t>
  </si>
  <si>
    <t>KT Hanford-Bakersfield/63miles</t>
  </si>
  <si>
    <t>San Jose-Bakersfield/258miles</t>
  </si>
  <si>
    <t>San Jose-Bakersfield/                                      258miles</t>
  </si>
  <si>
    <t>Merced-KT Hanford/                                          128miles</t>
  </si>
  <si>
    <t>Gilroy-Bakersfield/228miles</t>
  </si>
  <si>
    <t>Elements of Formula-Based Fares + Other Tansport Fares</t>
  </si>
  <si>
    <t>Gilroy-Bakersfield/                           228miles</t>
  </si>
  <si>
    <r>
      <t xml:space="preserve"> For Greyhound bus service schedules and costs between Origins and the nearest HSR station, see:</t>
    </r>
    <r>
      <rPr>
        <sz val="6"/>
        <color indexed="12"/>
        <rFont val="Calibri"/>
        <family val="2"/>
      </rPr>
      <t xml:space="preserve"> https://www.greyhound.com/en/ecommerce/schedule. </t>
    </r>
    <r>
      <rPr>
        <sz val="6"/>
        <color indexed="18"/>
        <rFont val="Calibri"/>
        <family val="2"/>
      </rPr>
      <t xml:space="preserve"> The Greyhound bus fare LAUS-Santa Barbara is $13. Se</t>
    </r>
    <r>
      <rPr>
        <sz val="6"/>
        <color indexed="12"/>
        <rFont val="Calibri"/>
        <family val="2"/>
      </rPr>
      <t>e: https://www.greyhound.com/en/ecommerce/schedule</t>
    </r>
  </si>
  <si>
    <t xml:space="preserve">Elements of High-Speed Rail Total Travel Times Arranged Sequentially           </t>
  </si>
  <si>
    <t xml:space="preserve">Elements of High-Speed Rail Total Travel Times Arranged Sequentially                 </t>
  </si>
  <si>
    <t xml:space="preserve">Elements of High-Speed Rail Total Travel Times Arranged Sequentially    </t>
  </si>
  <si>
    <t>IOS Noth:                     One-way Distances in driving miles from the Oakland (MTC) Origin to designated Destination</t>
  </si>
  <si>
    <t>Fresno-Merced requires a 15minute transfer time . See Table A.2.1, p. A-2 [PDF 62] of the 2016 Business Plan, Ridership and Revenue Forecasting, Technical Supporting Document.</t>
  </si>
  <si>
    <t>Fight advance purchases found at: https://www.kayak.com/flights/. See Screen Shots to/from folder</t>
  </si>
  <si>
    <t>G</t>
  </si>
  <si>
    <t xml:space="preserve">n.a. </t>
  </si>
  <si>
    <t xml:space="preserve">n.a </t>
  </si>
  <si>
    <t>n.a.</t>
  </si>
  <si>
    <r>
      <t>San Jose-San Diego</t>
    </r>
    <r>
      <rPr>
        <b/>
        <sz val="7"/>
        <color indexed="8"/>
        <rFont val="Calibri"/>
        <family val="2"/>
      </rPr>
      <t>/                                  546miles</t>
    </r>
  </si>
  <si>
    <r>
      <t xml:space="preserve">Oakland-San Diego/                    </t>
    </r>
    <r>
      <rPr>
        <b/>
        <sz val="7"/>
        <color indexed="8"/>
        <rFont val="Calibri"/>
        <family val="2"/>
      </rPr>
      <t>594miles</t>
    </r>
  </si>
  <si>
    <t>Origins &amp; Destinations – Total one-way miles traveled by an Authority customer, including via HSR, Authority Bus, Auto, BART, Caltrain, Metrolink, Amtrak, etc.</t>
  </si>
  <si>
    <t>Other Transfer times (Wait Times) to onward destinations</t>
  </si>
  <si>
    <t>Other Run Times by HSR or other transport modes to onward destinations</t>
  </si>
  <si>
    <t>San Diego-LA/                                          120miles</t>
  </si>
  <si>
    <r>
      <t xml:space="preserve">San Diego-Anaheim/                                   </t>
    </r>
    <r>
      <rPr>
        <b/>
        <sz val="9"/>
        <rFont val="Calibri"/>
        <family val="2"/>
      </rPr>
      <t>107miles</t>
    </r>
  </si>
  <si>
    <t>San Diego-BUR/                                                 126miles</t>
  </si>
  <si>
    <t>Gilroy-Fresno/                         121miles</t>
  </si>
  <si>
    <t>Giroy-KT/Hanford/                  165miles</t>
  </si>
  <si>
    <t>San Jose-KT (Hanford)/                 195miles</t>
  </si>
  <si>
    <t>Per person cost of intra-regional round-trip using HSR; bassed on Figure 2.2 fares</t>
  </si>
  <si>
    <t>HSR – Total Travel Costs using Table 2.2</t>
  </si>
  <si>
    <t>HSR fares are based on formulas found on p. 2-5 {PDF 25] of 2018 Business Plan Ridership and Revenue Forecasts, Technical Supporting Document</t>
  </si>
  <si>
    <t>San Jose-KT Hanford/195miles</t>
  </si>
  <si>
    <t>See Table 2.2, p. 2-5  [PDF 25] of the 2018 Business Plan, Ridership and Revenue Forecasting, Technical Supporting Document</t>
  </si>
  <si>
    <t xml:space="preserve">See Table 2.2, p.2-5 [PDF 25] of California High Speed Rail 2018 Business Plan, Ridership and Revenue Forecasting, Technical Supporting Document </t>
  </si>
  <si>
    <t>ADJACENT REGIONS TRAVEL – SANDAG (San Diego County) and SCAG (Los Angeles Basin) during the SV-CV period (2029-2033)</t>
  </si>
  <si>
    <t xml:space="preserve">Miles are Madera-southward to Bakersfield. Google maps' 138miles are used because that Highway 99 route connects those cities' Amtrak stations.  LAUS-San Diego fares are counted elsewhere. </t>
  </si>
  <si>
    <t>HSR-Total Travel Costs using Table 2.2</t>
  </si>
  <si>
    <t>HSR-Total Travel Costs using Formulas</t>
  </si>
  <si>
    <t>Formulas for cost per mile found on p. 2-6 {PDF 26] of 2018 Business Plan Ridership and Revenue Forecasts, Technical Supporting Document</t>
  </si>
  <si>
    <t>Elements of HSR Total Travel Costs  Using Table 2.2-based fares and other fares</t>
  </si>
  <si>
    <t>Since Dr. Jones' paper did not address Fresno-Madera 30miles are added to the totals of Madera-San Jose, Madera-Bakersfield and Madera-LA Union (for both the LA and San Diego destinations)</t>
  </si>
  <si>
    <r>
      <t xml:space="preserve">“$13  from Bakersfield to Southern California locations. . .” and “$10 from Sacramento, Lodi and Elk Grove to Madera. . .”  See DRAFT 2018 Business Plan: Technical Supporting Documents, p. 2-6  [PDF 26]. The Greyhound bus fare LAUS-Santa Barbara is $13. See: </t>
    </r>
    <r>
      <rPr>
        <sz val="6"/>
        <color indexed="12"/>
        <rFont val="Calibri"/>
        <family val="2"/>
      </rPr>
      <t>https://www.greyhound.com/en/ecommerce/schedule</t>
    </r>
  </si>
  <si>
    <t xml:space="preserve">Since Dr. Jones' paper did not address Fresno-Madera 30miles are added to the totals of San Jose-Madera, Madera-Bakersfield and Madera-LA Union (for both the LA and Santa Barbara destinations)
</t>
  </si>
  <si>
    <t>Madera-Fresno/33miles</t>
  </si>
  <si>
    <t>Merced-Madera/33miles</t>
  </si>
  <si>
    <t>Merced-Madera-Fresno/59miles</t>
  </si>
  <si>
    <t>Merced-Madera-KT Hanford/128miles</t>
  </si>
  <si>
    <t>Merced-Madera/                 33miles</t>
  </si>
  <si>
    <t>Madera-Fresno/                  33miles</t>
  </si>
  <si>
    <t>“$13  from Bakersfield to Southern California locations. . .” See   2018 Business Plan: Technical Supporting Documents, p. 2-6, [PDF 26]</t>
  </si>
  <si>
    <t>“$13  from Bakersfield to Southern California locations. . .” See   2018 Business Plan: Technical Supporting Documents, p. 2-6  [PDF 26]</t>
  </si>
  <si>
    <t>THESE CALCULATIONS ARE BASED ON DATA FROM THE AUTHORITY'S FINAL 2018 BUSINESS PLAN AND APPENDICES (June 2018)</t>
  </si>
  <si>
    <t>Per person fares for intra-regional round-trip by Caltrain or Amtrak (2018 $$s)</t>
  </si>
  <si>
    <t>THESE CALCULATIONS ARE BASED ON DATA FROM THE AUTHORITY'S 2018 BUSINESS PLAN AND APPENDICES (June 2018)</t>
  </si>
  <si>
    <t>See:Table A.1.3 p. A-1 [PDF 61] of 2018 Ridership and Revenue Forecasting, Technical Supporting Document</t>
  </si>
  <si>
    <t xml:space="preserve">Table A.1.3, p. A-1, [PDF 61] of the 2018 Business Plan, Ridership and Revenue Forecasting, Technical Supporting Document says the LA Basin-Bakersfield bus to LAUS is 132-160minutes. </t>
  </si>
  <si>
    <t>Uses Run Times from Table A.1.2, p. A-1 [PDF 61] of 2018 FINAL Businness Plan, Ridership and Revenue Forecasting, Technical Supporting Document</t>
  </si>
  <si>
    <t xml:space="preserve">Per occupant Auto costs based on 110% of 23¢/mile (25¢/mile). For the Authority-set 23¢/mile, see Table 3.3, p.3-4  [PDF 32] of the CA High-Speed Rail DRAFT 2018 Business Plan, Ridership and Revenue Forecasting: Technical Supporting Document.
</t>
  </si>
  <si>
    <t xml:space="preserve">Only Bakersfield (BFL) to destination mileage is used for the computation. Formulas found on p. 2-6 [PDF 26] of 2018 FINAL Business Plan Ridership and Revenue Forecasts, Technical Supporting Document (June 2018)
</t>
  </si>
  <si>
    <r>
      <t>Anaheim- Gilroy/</t>
    </r>
    <r>
      <rPr>
        <b/>
        <sz val="6"/>
        <rFont val="Calibri"/>
        <family val="2"/>
      </rPr>
      <t>415miles</t>
    </r>
  </si>
  <si>
    <r>
      <t>Long Beach-Oakland</t>
    </r>
    <r>
      <rPr>
        <b/>
        <sz val="7"/>
        <color indexed="8"/>
        <rFont val="Calibri"/>
        <family val="2"/>
      </rPr>
      <t>/503miles</t>
    </r>
  </si>
  <si>
    <t>Only Bakersfield (BFL) to destination mileage is used for the computation as the trans-Tehachapi Range costs are computed elsewhere. Formulas found on p. 2-6 [PDF 26] of 2018 FINAL Business Plan Ridership and Revenue Forecasts, Technical Supporting Document (june 2018)
t</t>
  </si>
  <si>
    <t>Gilroy-Long Beach/413miles</t>
  </si>
  <si>
    <t>San Jose-Long Beach/443miles</t>
  </si>
  <si>
    <t xml:space="preserve">The transfer time at LAUS to go to Long Beach is 15minutes. </t>
  </si>
  <si>
    <t>These are the fares from the MTC Region to Bakersfield. See Table 2.2, p.2-5 [PDF 25] of California High Speed Rail FIANL 2018 Business Plan, Ridership and Revenue Forecasting, Technical Supporting Document (June 2018)</t>
  </si>
  <si>
    <r>
      <t>San Jose-OC Gateway (Norwalk)/</t>
    </r>
    <r>
      <rPr>
        <b/>
        <sz val="7"/>
        <color indexed="8"/>
        <rFont val="Calibri"/>
        <family val="2"/>
      </rPr>
      <t>432 miles</t>
    </r>
  </si>
  <si>
    <t>There are no prior-to-HSR-travel in these calculations</t>
  </si>
  <si>
    <t>SF-Long Beach/491miles</t>
  </si>
  <si>
    <t>SF-Anaheim/493miles</t>
  </si>
  <si>
    <t>San Jose-San Diego/546miles</t>
  </si>
  <si>
    <t>See Table 2.2, p.2-5 [PDF 25] of California High Speed Rail 2018 FINAL Business Plan, Ridership and Revenue Forecasting, Technical Supporting Document (June 2018)</t>
  </si>
  <si>
    <t>SFTBT is not connected to BART.  An Oakland-Oringinated HSR patron takes BART (12minutes) to Embarcadero station.</t>
  </si>
  <si>
    <t xml:space="preserve">Uses Run Times from Table A.1.2, p. A-1 [PDF 61] of 2018 FINAL Businness Plan, Ridership and Revenue Forecasting, Technical Supporting Document
</t>
  </si>
  <si>
    <t xml:space="preserve">Below Table A.1.1 p. A-1, [PDF 61] of the 2018 Business Plan, Ridership and Revenue Forecasting, Technical Supporting Document says "HSR Bus Transfer Time  15"
</t>
  </si>
  <si>
    <t>Oakland-Burbank (BUR)/470miles</t>
  </si>
  <si>
    <t>Oakland-LA/476miles</t>
  </si>
  <si>
    <t>Oakland-OC Gateway (Norwalk)/490miles</t>
  </si>
  <si>
    <t>Oakland-Anaheim/503miles</t>
  </si>
  <si>
    <t>Oakland-OC Gateway (Norwalk)/                   490miles</t>
  </si>
  <si>
    <t>The Sacramento-Madera Authority Dedicated Bus Run Time is 240minutes. See Table A.1.1, p. A-1, [PDF 61] of the 2018 FINAL Ridership and Revenue Forcasting, Technical Supporting Document (June 2018)</t>
  </si>
  <si>
    <t>From Table A.1.3, p. A-1 [PDF 61] of the 2016 FINAL Business Plan, Ridership and Revenue Forecasting, Technical Supporting Document (June 2018)</t>
  </si>
  <si>
    <t xml:space="preserve">Per occupant Auto costs based on 110% of 23¢/mile (25¢/mile). For the Authority-set 23¢/mile, see Table 3.3, p.3-4  [PDF 32] of the CA High-Speed Rail DRAFT 2018 Business Plan, Ridership and Revenue Forecasting: Technical Supporting Document.
"
</t>
  </si>
  <si>
    <r>
      <t>San Diego-Bakersfield (BFL)</t>
    </r>
    <r>
      <rPr>
        <b/>
        <sz val="7"/>
        <color indexed="8"/>
        <rFont val="Calibri"/>
        <family val="2"/>
      </rPr>
      <t>/283miles</t>
    </r>
  </si>
  <si>
    <r>
      <t>San Diego-KT Hanford</t>
    </r>
    <r>
      <rPr>
        <b/>
        <sz val="7"/>
        <rFont val="Calibri"/>
        <family val="2"/>
      </rPr>
      <t>/322miles</t>
    </r>
  </si>
  <si>
    <r>
      <t>San Diego-Fresno/</t>
    </r>
    <r>
      <rPr>
        <b/>
        <sz val="7"/>
        <rFont val="Calibri"/>
        <family val="2"/>
      </rPr>
      <t>390miles</t>
    </r>
  </si>
  <si>
    <r>
      <t>San Diego-Merced</t>
    </r>
    <r>
      <rPr>
        <b/>
        <sz val="7"/>
        <rFont val="Calibri"/>
        <family val="2"/>
      </rPr>
      <t>/446miles</t>
    </r>
  </si>
  <si>
    <r>
      <t>OC Gateway-San Jose/</t>
    </r>
    <r>
      <rPr>
        <b/>
        <sz val="7"/>
        <color indexed="8"/>
        <rFont val="Calibri"/>
        <family val="2"/>
      </rPr>
      <t>432 miles</t>
    </r>
  </si>
  <si>
    <r>
      <t>Anaheim-San Jose</t>
    </r>
    <r>
      <rPr>
        <b/>
        <sz val="7"/>
        <color indexed="8"/>
        <rFont val="Calibri"/>
        <family val="2"/>
      </rPr>
      <t>/445miles</t>
    </r>
  </si>
  <si>
    <t>Oakland-San Diego/594miles</t>
  </si>
  <si>
    <t>From Table A.1.2, p. A-1 [PDF 61] of the 2018 FINAL Business Plan, Ridership and Revenue Forecasting, Technical Supporting Document (June 2018)</t>
  </si>
  <si>
    <t xml:space="preserve">Page A-1, [PDF 61] of the 2018 Business Plan, Ridership and Revenue Forecasting, Technical Supportign Document says the LA Basin-Bakersfield bus to LAUS is 132-160minutes. </t>
  </si>
  <si>
    <t xml:space="preserve">Page A-1, [PDF 61] of the 2018 Business Plan, Ridership and Revenue Forecasting, Technical Supporting Document says the LA Basin-Bakersfield bus to LAUS is 132-160minutes. </t>
  </si>
  <si>
    <t>For 23¢/mile, see Table 3.3, p.3-4  [PDF 32] of CA High-Speed Rail FINAL 2018 Business Plan, Ridership and Revenue Forecasting: Technical Supporting Document (June 2018)</t>
  </si>
  <si>
    <r>
      <t>Long Beach-Oakland</t>
    </r>
    <r>
      <rPr>
        <b/>
        <sz val="7"/>
        <color indexed="8"/>
        <rFont val="Calibri"/>
        <family val="2"/>
      </rPr>
      <t>/                 503miles</t>
    </r>
  </si>
  <si>
    <r>
      <t xml:space="preserve">THESE CALCULATIONS ARE BASED ON DATA FROM THE AUTHORITY'S </t>
    </r>
    <r>
      <rPr>
        <b/>
        <sz val="14"/>
        <color rgb="FFFF0000"/>
        <rFont val="Calibri (Body)_x0000_"/>
      </rPr>
      <t>FINAL</t>
    </r>
    <r>
      <rPr>
        <b/>
        <sz val="14"/>
        <color rgb="FFFF0000"/>
        <rFont val="Calibri"/>
        <family val="2"/>
        <scheme val="minor"/>
      </rPr>
      <t xml:space="preserve"> 2018 BUSINESS PLAN AND APPENDICES (June 2018)</t>
    </r>
  </si>
  <si>
    <t>OC Gateway-Bakersfield/174miles</t>
  </si>
  <si>
    <t>OC Gateway-KT Hanford/237miles</t>
  </si>
  <si>
    <t>Anaheim-KT Hanford/250miles</t>
  </si>
  <si>
    <t>See: A.1.2 p. A-1 [PDF 61] of 2018 Ridership and Revenue Forecasting, Technical Supporting Document. High-Speed Rail Patterns</t>
  </si>
  <si>
    <t>See Table 2.2, p.2-5 [PDF 25] of California High Speed Rail 2018 Business Plan, Ridership and Revenue Forecasting, Technical Supporting Document (June 2018)</t>
  </si>
  <si>
    <t>Burbank-Merced/320miles</t>
  </si>
  <si>
    <t>Anaheim-Merced/353miles</t>
  </si>
  <si>
    <t>San Jose-Fresno/                    151miles</t>
  </si>
  <si>
    <t>No prior-to-HSR-travel by BART, Metrolink, Amtrak or an Authority Dedicated Bus in these calculations. See: A.1.2 p. A-1 [PDF 61] of 2018 Ridership and Revenue Forecasting, Technical Supporting Document. High-Speed Rail Patterns</t>
  </si>
  <si>
    <t>Gilroy-Madera/96miles</t>
  </si>
  <si>
    <t>Gilroy-Madera/                                  96miles</t>
  </si>
  <si>
    <t xml:space="preserve"> See Figure A.1.2 [PDF 61] of the 2018 Businness Plan, Ridership and Revenue Forecasting, Technical Supporting Document (June 2018)</t>
  </si>
  <si>
    <t>See Table 2.2, p.2-6 [PDF 25] of California High Speed Rail 2018 Business Plan, Ridership and Revenue Forecasting, Technical Supporting Document (June 2018)</t>
  </si>
  <si>
    <t xml:space="preserve">Since the Embarcadero BART station is three blocks from SFTBT, the Tranfer Time is a 10minute walk plus a 15minute wait for HSR at SFTBT. </t>
  </si>
  <si>
    <t>These Run Times are from SFTBT to Madera, KT Hanford or Bakersfield. Since there is no direct HSR train, the SFTBT-Merced and SFTBT-Sacramento routes first go the Madera. See: A.1.2 p. A-1 [PDF 61] of 2018 Ridership and Revenue Forecasting, Technical Supporting Document. High-Speed Rail Patterns</t>
  </si>
  <si>
    <t>See Table 2.2, p.2-5 [PDF 25] of California High Speed Rail 2018 Business Plan, Ridership and Revenue Forecasting, Technical Supporting Document Tne Oakland-Sacramento and Oakland-Merced fares are only SFTBT-Madera as there is no direct HSR train connection</t>
  </si>
  <si>
    <t xml:space="preserve">To get to Merced or Sacramento requires changing in Sacramento and a $1.00 Madera-Merced or  $10 Madera-Sacramento bus fare.  </t>
  </si>
  <si>
    <t>Based on Table A.1.1 p. A-1 [PDF 61] of the 2018 Business Plan, Ridership and Revenue Forecasting, Technical Supporting Document</t>
  </si>
  <si>
    <t>Times for the Authority bus to cross the Tehachapi range are found on Table A.1.3, p. A-1 [PDF 61] of the 2018 Business Plan, Ridership and Revenue Forecasting, Technical Supporting Document (June 2018)</t>
  </si>
  <si>
    <t>Times for the Authority bus travel from Madera-Sacramento or the HSR train Madera-Gilroy are found at Table A.1.1 and Table A.1.2, p. A-1 [PDF 61] of the 2018 Business Plan, Ridership and Revenue Forecasting, Technical Supporting Document (June 2018)</t>
  </si>
  <si>
    <t>Forty-two minutes are added for Anaheim-LAUS Metrolink travel. Metrolink LAUS-Anaheim fare is $8.75.</t>
  </si>
  <si>
    <t xml:space="preserve">See Table 2.2, p.2-5 [PDF 25] of California High Speed Rail 2018 Business Plan, Ridership and Revenue Forecasting, Technical Supporting Document. </t>
  </si>
  <si>
    <t>Fresno-Sacramento/                         172miles</t>
  </si>
  <si>
    <t>Madera-San Jose/127miles</t>
  </si>
  <si>
    <t>Madera-San Jose/                            127miles</t>
  </si>
  <si>
    <t>Times for the Madera-Merced Authority bus between Madera found on Table A.1.3, p. A-1 [PDF 61] of the 2018 Business Plan, Ridership and Revenue Forecasting, Technical Supporting Document (June 2018)</t>
  </si>
  <si>
    <t>See Table 2.2, p. 2-5  [PDF 25] of the 2018 Business Plan, Ridership and Revenue Forecasting, Technical Supporting Document (June 2018)</t>
  </si>
  <si>
    <t xml:space="preserve">Per occupant Auto costs based on 110% of 23¢/mile (25¢/mile). For the Authority-set 23¢/mile, see Table 3.3, p.3-4  [PDF 32] of the CA High-Speed Rail 2018 Business Plan, Ridership and Revenue Forecasting: Technical Supporting Document (June 2018)
</t>
  </si>
  <si>
    <t>Based on Table A.1.1 p. A-1 [PDF 61] of the 2018 Business Plan, Ridership and Revenue Forecasting, Technical Supporting Document (June 2018)</t>
  </si>
  <si>
    <t>KT Hanford -Burbank (BUR)/                               192miles</t>
  </si>
  <si>
    <t>HSR fares are based on formulas found on p. 2-5 {PDF 25] of 2018 Business Plan Ridership and Revenue Forecasts, Technical Supporting Document. Fares for cross-Tehachapi routes are only from KT Hanford orFresno to Bakersfield</t>
  </si>
  <si>
    <t>See Table A.1.2, p. A-1 [PDF 61] of the 2018 Business Plan, Ridership and Revenue Forecasting, Technical Supporting Document (June 2018)</t>
  </si>
  <si>
    <t>See Table A.1.2 p. A-1 [PDF 61] of the 2018 Business Plan, Ridership and Revenue Forecasting, Technical Supporting Document (June 2018)</t>
  </si>
  <si>
    <t>See Table A.1.1 p. A-1 [PDF 61] of the 2018 Business Plan, Ridership and Revenue Forecasting, Technical Supporting Document (June 2018)</t>
  </si>
  <si>
    <t>Fares based on Table 2.2, p. 2-5  [PDF 25] of the 2018 Business Plan, Ridership and Revenue Forecasting, Technical Supporting Document (June 2018)</t>
  </si>
  <si>
    <r>
      <t>Sacramento-Madera/</t>
    </r>
    <r>
      <rPr>
        <b/>
        <sz val="8"/>
        <rFont val="Calibri"/>
        <family val="2"/>
      </rPr>
      <t>148miles</t>
    </r>
  </si>
  <si>
    <r>
      <t>Sacramento-Merced/</t>
    </r>
    <r>
      <rPr>
        <b/>
        <sz val="8"/>
        <rFont val="Calibri"/>
        <family val="2"/>
      </rPr>
      <t>118miles</t>
    </r>
  </si>
  <si>
    <r>
      <t>Sacramento-KT Hanford /</t>
    </r>
    <r>
      <rPr>
        <b/>
        <sz val="8"/>
        <color rgb="FF000000"/>
        <rFont val="Calibri"/>
        <family val="2"/>
      </rPr>
      <t>216miles</t>
    </r>
  </si>
  <si>
    <r>
      <t>Sacramento-Bakersfield/</t>
    </r>
    <r>
      <rPr>
        <b/>
        <sz val="8"/>
        <color rgb="FF000000"/>
        <rFont val="Calibri"/>
        <family val="2"/>
      </rPr>
      <t>280miles</t>
    </r>
  </si>
  <si>
    <r>
      <t xml:space="preserve">Sacramento-Madera/                     </t>
    </r>
    <r>
      <rPr>
        <b/>
        <sz val="8"/>
        <rFont val="Calibri"/>
        <family val="2"/>
      </rPr>
      <t>148miles</t>
    </r>
  </si>
  <si>
    <r>
      <t>Sacramento-Fresno/</t>
    </r>
    <r>
      <rPr>
        <b/>
        <sz val="8"/>
        <color rgb="FF000000"/>
        <rFont val="Calibri"/>
        <family val="2"/>
      </rPr>
      <t>173miles</t>
    </r>
  </si>
  <si>
    <t>Merced--OC Gateway/340miles</t>
  </si>
  <si>
    <r>
      <t>San Diego-OC Gateway/</t>
    </r>
    <r>
      <rPr>
        <b/>
        <sz val="8"/>
        <color theme="1"/>
        <rFont val="Calibri"/>
        <family val="2"/>
      </rPr>
      <t>106miles</t>
    </r>
  </si>
  <si>
    <r>
      <t>San Diego-Anaheim/</t>
    </r>
    <r>
      <rPr>
        <b/>
        <sz val="8"/>
        <rFont val="Calibri"/>
        <family val="2"/>
      </rPr>
      <t>107miles</t>
    </r>
  </si>
  <si>
    <r>
      <t xml:space="preserve">San Diego-OC Gateway/                                </t>
    </r>
    <r>
      <rPr>
        <b/>
        <sz val="8"/>
        <color theme="1"/>
        <rFont val="Calibri"/>
        <family val="2"/>
      </rPr>
      <t>106miles</t>
    </r>
  </si>
  <si>
    <r>
      <t>San Diego-Gilroy/</t>
    </r>
    <r>
      <rPr>
        <b/>
        <sz val="7"/>
        <color theme="1"/>
        <rFont val="Calibri"/>
        <family val="2"/>
      </rPr>
      <t>520miles</t>
    </r>
  </si>
  <si>
    <r>
      <t>San Diego-Madera/</t>
    </r>
    <r>
      <rPr>
        <b/>
        <sz val="7"/>
        <color theme="1"/>
        <rFont val="Calibri (Body)_x0000_"/>
      </rPr>
      <t>413miles</t>
    </r>
  </si>
  <si>
    <r>
      <t>San Diego-Bakersfield</t>
    </r>
    <r>
      <rPr>
        <b/>
        <sz val="7"/>
        <color indexed="8"/>
        <rFont val="Calibri"/>
        <family val="2"/>
      </rPr>
      <t>/                                                 283miles</t>
    </r>
  </si>
  <si>
    <r>
      <t>San Diego-KT Hanford</t>
    </r>
    <r>
      <rPr>
        <b/>
        <sz val="7"/>
        <rFont val="Calibri"/>
        <family val="2"/>
      </rPr>
      <t>/                                                       322miles</t>
    </r>
  </si>
  <si>
    <r>
      <t xml:space="preserve">San Diego-Fresno/                                                   </t>
    </r>
    <r>
      <rPr>
        <b/>
        <sz val="7"/>
        <rFont val="Calibri"/>
        <family val="2"/>
      </rPr>
      <t>390miles</t>
    </r>
  </si>
  <si>
    <r>
      <t>Sacramento-OC Gateway</t>
    </r>
    <r>
      <rPr>
        <b/>
        <sz val="7"/>
        <color indexed="8"/>
        <rFont val="Calibri"/>
        <family val="2"/>
      </rPr>
      <t>/460miles</t>
    </r>
  </si>
  <si>
    <r>
      <t>THESE CALCULATIONS ARE BASED ON DATA FROM THE AUTHORITY'S</t>
    </r>
    <r>
      <rPr>
        <b/>
        <i/>
        <sz val="14"/>
        <color rgb="FFFF0000"/>
        <rFont val="Calibri"/>
        <family val="2"/>
        <scheme val="minor"/>
      </rPr>
      <t xml:space="preserve"> </t>
    </r>
    <r>
      <rPr>
        <b/>
        <sz val="14"/>
        <color rgb="FFFF0000"/>
        <rFont val="Calibri"/>
        <family val="2"/>
        <scheme val="minor"/>
      </rPr>
      <t>2018 BUSINESS PLAN AND APPENDICES</t>
    </r>
  </si>
  <si>
    <t xml:space="preserve">See: Table A.2.2 p. A-2 [PDF 62] of 2018 Ridership and Revenue Forecasting, Technical Supporting Document </t>
  </si>
  <si>
    <t>As with transfer times between Authority bus and HSR services, a 15minute Transfer Time is assumed. For example, see Table A 2.1, p. A-2 PDF 62] of 2018 Business Plan, Ridership and Revenue Forecasting, Technical Supporting Document.</t>
  </si>
  <si>
    <t xml:space="preserve">For Authority Bus Fresno-Sacramento Authority Bus Run Times, see Table A.1.1,p. A-2 [PDF 61] and see Table A.1.3 [PDF 61] of the 2018 Business Plan, Ridership and Revenue Forecasting, Technical Supporting Document.  </t>
  </si>
  <si>
    <t>As with Transfer Times between Authority bus and HSR services, a 15minute Transfer Time is assumed. See: Table A 1.3, p. A-1 PDF 61] of 2018 Business Plan's Ridership and Revenue Forecasting, Technical Supporting Document. The minimun Transfer Time to Amtrak at LAUS is 30minute as Amtrak service is hourly.</t>
  </si>
  <si>
    <t xml:space="preserve">For Authority Bus Run Times, LAUS-Bakersfield, see Table A.1.3, p. A-1 [PDF 61] of the 2018 Business Plan, Ridership and Revenue Forecasting, Technical Supporting Document.  </t>
  </si>
  <si>
    <t xml:space="preserve">For Authority Bus Run Times, Sacramento-Madera, see Table A.1.3, p. A-1 [PDF 61] of the 2018 Business Plan, Ridership and Revenue Forecasting, Technical Supporting Document.  </t>
  </si>
  <si>
    <t>The Wait Time for a Greyhound Bus in San Jose is at least 60minutes as Greyhound's  schedule has buses running only every 2-3hours.  Run Time for the Madera- Sacramento bus in 240minutes as per A.1.1, p. A-1 [PDF 61] of the 2018 Ridership and Revenue Forecasting, Technical Supporting Document.</t>
  </si>
  <si>
    <t>Calculation is =  (2*flight times) + 142minutes (2*71) for return trip + 90minutes (2*45minutes) extra time for security at the Origin and Destination airports</t>
  </si>
  <si>
    <t>From Table A.1.2, p. A-1 [PDF 61] of the 2016 FINAL Business Plan, Ridership and Revenue Forecasting, Technical Supporting Document (June 2018). Transfer Time at end of Authority's bus travel for another rail ride (minutes)</t>
  </si>
  <si>
    <t xml:space="preserve"> See Table A 1.2, p. A-1 PDF 61] of 2018 Business Plan's Ridership and Revenue Forecasting, Technical Supporting Document. </t>
  </si>
  <si>
    <t xml:space="preserve">For Authority Bus Run Times Bakersfield-LAUS, see Table A.1.3, p. A-1 [PDF 61] and see Table A.1.3 [PDF 61] of the 2018 Business Plan, Ridership and Revenue Forecasting, Technical Supporting Document.  </t>
  </si>
  <si>
    <t>Yosemite Valley-Bakersfield/                            200miles</t>
  </si>
  <si>
    <t>Yosemite Valley-Sacramento/                               265miles</t>
  </si>
  <si>
    <t>As with transfer times between Authority bus and HSR services, a 15minute Transfer Time is assumed. For example, see Table A 1.1, p. A-1 PDF 61] of 2018 Business Plan's Ridership and Revenue Forecasting, Technical Supporting Document</t>
  </si>
  <si>
    <t>The fastestes Caltrain Baby Bullet train runs San Jose Diridon to Millbrae in 42minutes with a fare of $8.75 for travel within three zones</t>
  </si>
  <si>
    <t>Sacramento-Merced/                           118miles</t>
  </si>
  <si>
    <r>
      <t xml:space="preserve">Anaheim-Gilroy/                                         </t>
    </r>
    <r>
      <rPr>
        <b/>
        <sz val="7"/>
        <rFont val="Calibri"/>
        <family val="2"/>
      </rPr>
      <t xml:space="preserve">  415miles</t>
    </r>
  </si>
  <si>
    <t xml:space="preserve">Round-Trip Travel to/from San Francisco's East Bay (MTC's Alameda and Contra Costa counties-total pop. is 2.9million) - because Oakland CA's eighth most populated city and BART's extension to San Jose makes Oakland accessible two Bay Area HSR station.  Name of Origin and Destination and one-way HSR miles between the stations. Note that HSR miles are often longer than driving miles  </t>
  </si>
  <si>
    <t>Fresno-Sacramento/172miles</t>
  </si>
  <si>
    <t>Merced-Gilroy/180miles</t>
  </si>
  <si>
    <t>Bakersfield-Anaheim/187miles</t>
  </si>
  <si>
    <r>
      <t xml:space="preserve">Sacramento-Gilroy/                              </t>
    </r>
    <r>
      <rPr>
        <b/>
        <sz val="8"/>
        <rFont val="Calibri"/>
        <family val="2"/>
      </rPr>
      <t>244miles</t>
    </r>
  </si>
  <si>
    <r>
      <t>Sacramento-Gilroy/</t>
    </r>
    <r>
      <rPr>
        <b/>
        <sz val="8"/>
        <rFont val="Calibri"/>
        <family val="2"/>
      </rPr>
      <t>244miles</t>
    </r>
  </si>
  <si>
    <r>
      <t>Sacramento-San Jose/</t>
    </r>
    <r>
      <rPr>
        <b/>
        <sz val="8"/>
        <color rgb="FF000000"/>
        <rFont val="Calibri"/>
        <family val="2"/>
      </rPr>
      <t>274miles</t>
    </r>
  </si>
  <si>
    <t>Sacramento-San Jose/                                      274miles</t>
  </si>
  <si>
    <r>
      <t xml:space="preserve">Sacramento-Fresno/                                  </t>
    </r>
    <r>
      <rPr>
        <b/>
        <sz val="8"/>
        <color rgb="FF000000"/>
        <rFont val="Calibri"/>
        <family val="2"/>
      </rPr>
      <t>173 miles</t>
    </r>
  </si>
  <si>
    <t>Gilroy-Long Beach/                                413miles</t>
  </si>
  <si>
    <t>San Jose-Long Beach/                                443miles</t>
  </si>
  <si>
    <t xml:space="preserve">Round-Trip Travel to/from the SF Bay Area because MTC is CA's second larget metropolitan area, while the destinations in SCAG (LA Bsisn) are part of CA's largest metro area, including both LA County and Orange County.  Name of Origin and Destination and one-way HSR miles between the stations. Note that HSR miles are often longer than driving miles  </t>
  </si>
  <si>
    <r>
      <t>Sacramento-OC Gateway</t>
    </r>
    <r>
      <rPr>
        <b/>
        <sz val="7"/>
        <color indexed="8"/>
        <rFont val="Calibri"/>
        <family val="2"/>
      </rPr>
      <t>/                                                  460miles</t>
    </r>
  </si>
  <si>
    <t xml:space="preserve">Round-Trip Travel to/from San Diego, the state's 2nd most populated and 3rd most densely populated city. Also to/from Sacramento because Sacramento is the 6th most populated city and the 5th most densely populated city in CA - also the State Capital.  Name of Origin and Destination and one-way HSR miles between the stations. </t>
  </si>
  <si>
    <r>
      <t xml:space="preserve">San Diego-Madera/                                   </t>
    </r>
    <r>
      <rPr>
        <b/>
        <sz val="7"/>
        <color theme="1"/>
        <rFont val="Calibri (Body)_x0000_"/>
      </rPr>
      <t>413miles</t>
    </r>
  </si>
  <si>
    <r>
      <t>San Diego-Merced</t>
    </r>
    <r>
      <rPr>
        <b/>
        <sz val="7"/>
        <rFont val="Calibri"/>
        <family val="2"/>
      </rPr>
      <t>/                                               446miles</t>
    </r>
  </si>
  <si>
    <t xml:space="preserve"> Travel to/from the principal cities in each of the Other Regions, to/from the principal cities in Other Regions. </t>
  </si>
  <si>
    <t>Santa Barbara-Sacramento/                538miles</t>
  </si>
  <si>
    <t xml:space="preserve">             Santa Barbara-Monterey/                              590miles</t>
  </si>
  <si>
    <t xml:space="preserve">           Santa Barbara-San Diego/                               219miles</t>
  </si>
  <si>
    <t xml:space="preserve">             Santa Barbara-Fresno/                                      366miles</t>
  </si>
  <si>
    <t xml:space="preserve"> Travel to/from Yosemite National Park Village.  Note: The nearest commercial airport is Fresno (FAT), therefore FAT is used in these calculations. </t>
  </si>
  <si>
    <t xml:space="preserve">  Total One Way Trip HSR and Bus or Rail fares </t>
  </si>
  <si>
    <t>Burbank (BUR)-Turlock/                                       342miles</t>
  </si>
  <si>
    <t>Anaheim-Modesto/391miles</t>
  </si>
  <si>
    <t>Anaheim-Modesto/                                           391miles</t>
  </si>
  <si>
    <t>OC Gateway-Elk Grove/444miles</t>
  </si>
  <si>
    <t>OC Gateway-Elk Grove/                                               444miles</t>
  </si>
  <si>
    <t>For 23¢/mile, see Table 3.3, p.3-4  [PDF 32] of CA High-Speed Rail  2018 Business Plan, Ridership and Revenue Forecasting: Technical Supporting Document.</t>
  </si>
  <si>
    <t xml:space="preserve">Fares are from Table 2.2, p. 2-5 [PDF 25] of the  2018  Plan's Ridership and Revenue Forecasting, Techical Supporting Document. 
</t>
  </si>
  <si>
    <t>HSR fares are based on formulas found on p. 2-5 {PDF 25] of 2018  Business Plan Ridership and Revenue Forecasts, Technical Supporting Document</t>
  </si>
  <si>
    <t>A minus sigh (-) indicates time gained over Air Travel by using HSR between the Origin and Destination</t>
  </si>
  <si>
    <t xml:space="preserve">See: A.1.1 p. A-1 [PDF 61] of 2018 Ridership and Revenue Forecasting, Technical Supporting Document </t>
  </si>
  <si>
    <t>K</t>
  </si>
  <si>
    <t xml:space="preserve">See: A.1.1 p. A-1 [PDF 61] of 2018 Ridership and Revenue Forecasting, Technical Supporting Document 
</t>
  </si>
  <si>
    <t>San Jose-Stockton/239miles</t>
  </si>
  <si>
    <t>San Jose-Elk Grove/244miles</t>
  </si>
  <si>
    <t>San Jose-Stockton/                                         239miles</t>
  </si>
  <si>
    <t>San Jose-Elk Grove/                                          244miles</t>
  </si>
  <si>
    <t>L</t>
  </si>
  <si>
    <t>San Diego-Turlock/474miles</t>
  </si>
  <si>
    <t>San Diego-Modesto/489miles</t>
  </si>
  <si>
    <t>San Diego-Stockton/517miles</t>
  </si>
  <si>
    <t>San Diego-Elk Grove/553miles</t>
  </si>
  <si>
    <t>San Diego-Lodi/527miles</t>
  </si>
  <si>
    <t>See Figure A.1.2, p. A-1 [PDF 61] of the 2018 FINAL Businness Plan, Ridership and Revenue Forecasting, Technical Supporting Document (June 2018)</t>
  </si>
  <si>
    <t>See Table A.1., p. A-1, [PDF 61] of the 2016 Ridership and Revenue Forcasting, Technical Supporting Document</t>
  </si>
  <si>
    <t>San Diego-Modesto/                489miles</t>
  </si>
  <si>
    <t>San Diego-Stockton/                     517miles</t>
  </si>
  <si>
    <t>San Diego-Lodi/                         527miles</t>
  </si>
  <si>
    <t>San Diego-Elk Grove/                        553miles</t>
  </si>
  <si>
    <r>
      <t xml:space="preserve">Fight advance purchases found at: </t>
    </r>
    <r>
      <rPr>
        <sz val="6.5"/>
        <color indexed="12"/>
        <rFont val="Calibri"/>
        <family val="2"/>
      </rPr>
      <t>https://www.kayak.com/flights/</t>
    </r>
    <r>
      <rPr>
        <sz val="6.5"/>
        <color indexed="18"/>
        <rFont val="Calibri"/>
        <family val="2"/>
      </rPr>
      <t>. See Screen Shots to/from folder</t>
    </r>
  </si>
  <si>
    <t>Fresno-Anaheim/294miles</t>
  </si>
  <si>
    <r>
      <rPr>
        <sz val="6.5"/>
        <color indexed="18"/>
        <rFont val="Calibri Body"/>
      </rPr>
      <t xml:space="preserve">Fight advance purchases found at: </t>
    </r>
    <r>
      <rPr>
        <sz val="6.5"/>
        <color indexed="12"/>
        <rFont val="Calibri Body"/>
      </rPr>
      <t>https://www.kayak.com/flights/</t>
    </r>
    <r>
      <rPr>
        <sz val="6.5"/>
        <color indexed="18"/>
        <rFont val="Calibri Body"/>
      </rPr>
      <t>. See Screen Shots to/from folder</t>
    </r>
  </si>
  <si>
    <t>OC Gateway-KT Hanford/                 237miles</t>
  </si>
  <si>
    <t>Anaheim-KT  Hanford /                        250miles</t>
  </si>
  <si>
    <t xml:space="preserve">False Ph. 1             Round-Trip Formula-based HSR Fares on p. 3-2/3 {PDF 26-27] of 2016 R&amp;R Forecast plus other speciific, non-HSR costs related to that route </t>
  </si>
  <si>
    <t>Sacramento-KT Hanford/                                           220 miles</t>
  </si>
  <si>
    <t>M</t>
  </si>
  <si>
    <r>
      <t>Sacramento-Stockton/</t>
    </r>
    <r>
      <rPr>
        <b/>
        <sz val="8"/>
        <rFont val="Calibri"/>
        <family val="2"/>
      </rPr>
      <t>49miles</t>
    </r>
  </si>
  <si>
    <r>
      <t xml:space="preserve">Sacramento-Stockton/                           </t>
    </r>
    <r>
      <rPr>
        <b/>
        <sz val="8"/>
        <rFont val="Calibri"/>
        <family val="2"/>
      </rPr>
      <t>49miles</t>
    </r>
  </si>
  <si>
    <r>
      <t xml:space="preserve">Note: These routes are awarded to Auto travel because the Authority's Sacramento-Madera buses are subsidized. Why? While the Authority's Bus fare is $10.00, Greyhound's Sacramento-Madera fare is $20. See: </t>
    </r>
    <r>
      <rPr>
        <sz val="8"/>
        <color rgb="FF0000FF"/>
        <rFont val="Calibri"/>
        <family val="2"/>
      </rPr>
      <t>https://www.greyhound.com/en/ecommerce/schedule</t>
    </r>
    <r>
      <rPr>
        <sz val="8"/>
        <color rgb="FF3366FF"/>
        <rFont val="Calibri"/>
        <family val="2"/>
      </rPr>
      <t xml:space="preserve">	</t>
    </r>
    <r>
      <rPr>
        <sz val="8"/>
        <color theme="1"/>
        <rFont val="Calibri"/>
        <family val="2"/>
      </rPr>
      <t xml:space="preserve">			</t>
    </r>
  </si>
  <si>
    <t>Legend of Winner's Colors</t>
  </si>
  <si>
    <t>10=Yellow = HSR is Total Travel Time (TTT) competitive</t>
  </si>
  <si>
    <t xml:space="preserve">Legend of Winner's Colors	</t>
  </si>
  <si>
    <r>
      <t xml:space="preserve">53=Green = Auto is more  TTT competitive </t>
    </r>
    <r>
      <rPr>
        <b/>
        <u/>
        <sz val="10"/>
        <color theme="1"/>
        <rFont val="Calibri (Body)_x0000_"/>
      </rPr>
      <t xml:space="preserve">and </t>
    </r>
    <r>
      <rPr>
        <b/>
        <sz val="10"/>
        <color theme="1"/>
        <rFont val="Calibri"/>
        <family val="2"/>
        <scheme val="minor"/>
      </rPr>
      <t>Total Travel Cost (TTC) competitive than HSR</t>
    </r>
  </si>
  <si>
    <t>0 = Yellow = HSR is Total Travel Time (TTT) competitive</t>
  </si>
  <si>
    <t>0=Yellow = HSR is Total Travel Time (TTT) competitive</t>
  </si>
  <si>
    <t>NUMBER OF ROUTES ANALYZED</t>
  </si>
  <si>
    <t>WINNERS OF ROUTES</t>
  </si>
  <si>
    <t>Oakland- Merced/268miles</t>
  </si>
  <si>
    <t>Oakland- Sacramento/324miles</t>
  </si>
  <si>
    <r>
      <t>Sacramento- Anaheim</t>
    </r>
    <r>
      <rPr>
        <b/>
        <sz val="7"/>
        <rFont val="Calibri"/>
        <family val="2"/>
      </rPr>
      <t>/470miles</t>
    </r>
  </si>
  <si>
    <t xml:space="preserve"> WINNERS OF ROUTES</t>
  </si>
  <si>
    <t xml:space="preserve">  WINNERS OF ROUTES</t>
  </si>
  <si>
    <r>
      <t>Burbank-Gilroy</t>
    </r>
    <r>
      <rPr>
        <b/>
        <sz val="7"/>
        <color indexed="8"/>
        <rFont val="Calibri"/>
        <family val="2"/>
      </rPr>
      <t>/382miles</t>
    </r>
  </si>
  <si>
    <r>
      <t xml:space="preserve">OC Gateway-Gilroy </t>
    </r>
    <r>
      <rPr>
        <b/>
        <sz val="7"/>
        <color indexed="8"/>
        <rFont val="Calibri"/>
        <family val="2"/>
      </rPr>
      <t>/402miles</t>
    </r>
  </si>
  <si>
    <r>
      <t>Burbank-San Jose</t>
    </r>
    <r>
      <rPr>
        <b/>
        <sz val="7"/>
        <color indexed="8"/>
        <rFont val="Calibri"/>
        <family val="2"/>
      </rPr>
      <t>/412miles</t>
    </r>
  </si>
  <si>
    <t>Bakersfield-Burbank /154miles</t>
  </si>
  <si>
    <t>KT Hanford-Burbank /192miles</t>
  </si>
  <si>
    <t>Fresno-Burbank/261miles</t>
  </si>
  <si>
    <t>Round trip airfares + $23 for access+egress costs and Remote Access Costs if applicable</t>
  </si>
  <si>
    <t>LAX - BFL</t>
  </si>
  <si>
    <t>FAT - LAX</t>
  </si>
  <si>
    <t>Origins and Destinations of nearest commerical airports      (O-D)</t>
  </si>
  <si>
    <t>BUR - FAT</t>
  </si>
  <si>
    <t>SMF - FAT</t>
  </si>
  <si>
    <t>SMF - LAX</t>
  </si>
  <si>
    <t>SJC - FAT</t>
  </si>
  <si>
    <t>FAT - SFO</t>
  </si>
  <si>
    <t xml:space="preserve"> SFO - SMF</t>
  </si>
  <si>
    <t xml:space="preserve"> SJC - SMF</t>
  </si>
  <si>
    <t xml:space="preserve"> SJC - FAT</t>
  </si>
  <si>
    <t>SJC - BFL</t>
  </si>
  <si>
    <t xml:space="preserve"> FAT - SFO</t>
  </si>
  <si>
    <t>OAK - FAT</t>
  </si>
  <si>
    <t>OAK - SMF</t>
  </si>
  <si>
    <t>SFO - BFL</t>
  </si>
  <si>
    <t>SMF - SCK</t>
  </si>
  <si>
    <t>SMF - BFL</t>
  </si>
  <si>
    <t xml:space="preserve"> SAN - LAX</t>
  </si>
  <si>
    <t>SAN - LAX</t>
  </si>
  <si>
    <t>SAN - BUR</t>
  </si>
  <si>
    <t xml:space="preserve"> BUR - SJC</t>
  </si>
  <si>
    <t>BUR - SJC</t>
  </si>
  <si>
    <t>LAX - SJC</t>
  </si>
  <si>
    <t xml:space="preserve"> LAX - SJC</t>
  </si>
  <si>
    <t>LAX - SFO</t>
  </si>
  <si>
    <t>LGB - OAK</t>
  </si>
  <si>
    <t>SAN - SJC</t>
  </si>
  <si>
    <t>OAK - BUR</t>
  </si>
  <si>
    <t>OAK - LAX</t>
  </si>
  <si>
    <t>SMF - BUR</t>
  </si>
  <si>
    <t>SAN - BFL</t>
  </si>
  <si>
    <t>SAN - SMF</t>
  </si>
  <si>
    <t>SAN - FAT</t>
  </si>
  <si>
    <t>SAN - SFO</t>
  </si>
  <si>
    <t>RDD - FAT</t>
  </si>
  <si>
    <t>RDD - SJC</t>
  </si>
  <si>
    <t>RDD - LAX</t>
  </si>
  <si>
    <t>RDD - SAN</t>
  </si>
  <si>
    <t>SBA - LAX</t>
  </si>
  <si>
    <t>SBA - MRY</t>
  </si>
  <si>
    <t>SBA - SAN</t>
  </si>
  <si>
    <t>SBA - FAT</t>
  </si>
  <si>
    <t>SBA - SMF</t>
  </si>
  <si>
    <t>MRY - SFO</t>
  </si>
  <si>
    <t>MRY - FAT</t>
  </si>
  <si>
    <t>MRY - SMF</t>
  </si>
  <si>
    <t>MRY - LAX</t>
  </si>
  <si>
    <t>MRY - SAN</t>
  </si>
  <si>
    <t>MRY - RNO</t>
  </si>
  <si>
    <t>SJC - RDD</t>
  </si>
  <si>
    <t>SBA - RNO</t>
  </si>
  <si>
    <t xml:space="preserve">RNO - FAT </t>
  </si>
  <si>
    <t>RNO - SJC</t>
  </si>
  <si>
    <t>RNO - LAX</t>
  </si>
  <si>
    <t>RNO - SAN</t>
  </si>
  <si>
    <t>FAT - BFL</t>
  </si>
  <si>
    <r>
      <rPr>
        <sz val="6"/>
        <color indexed="18"/>
        <rFont val="Calibri"/>
        <family val="2"/>
      </rPr>
      <t>Fight advance purchases found at:</t>
    </r>
    <r>
      <rPr>
        <sz val="6"/>
        <color indexed="28"/>
        <rFont val="Calibri"/>
        <family val="2"/>
      </rPr>
      <t xml:space="preserve"> </t>
    </r>
    <r>
      <rPr>
        <sz val="6"/>
        <color theme="4" tint="-0.249977111117893"/>
        <rFont val="Calibri"/>
        <family val="2"/>
      </rPr>
      <t>https://www.kayak.com/flights/</t>
    </r>
    <r>
      <rPr>
        <sz val="6"/>
        <color theme="1"/>
        <rFont val="Calibri"/>
        <family val="2"/>
      </rPr>
      <t xml:space="preserve">. See Screen Shots to/from folder. </t>
    </r>
  </si>
  <si>
    <t>Remote Access Costs, round trip, for 'remote' passengers traveling to/from an airport in a distant city. For distances of less than 50 miles,  $15 was added. For distances greater than 50 miles, $31 was added.</t>
  </si>
  <si>
    <t>SV-CV Period: Total Travel Time gained (TTT minutes) round-trip using Auto vs. HSR  (negative # is TTT minutes more of Auto travel than HSR travel)</t>
  </si>
  <si>
    <t>0 of these 27 analyses of travel to /from Other Regions, (defined by the Authority as Far North, West Sierra Nevada, Monterey and Central Coast, and the principal cities of MTC, SCAG, SJV, SACOG and SANDAG) showed that travel using HSR for some portion was Total Travel Time (TTT) competitive against Auto or Air travel during the SV-CV Period (2029-2033)</t>
  </si>
  <si>
    <t>SV-CV Period:                     One-way Distances in driving miles from Monterey to destinations in the major regions where ridership is claimed</t>
  </si>
  <si>
    <t>SV-CV Period                     Round-Trip driving mile distances from and returning to Monterey</t>
  </si>
  <si>
    <t>SV-CV Period:          Round-Trip Door-to-Door Auto Travel Times</t>
  </si>
  <si>
    <t>SV-CV Period:          Round-Trip Door-to-Door Auto Travel Times + 15% upwards adjustment for travel times with traffic congestion</t>
  </si>
  <si>
    <t>SV-CV Period:                  Cost of Driving Alone Round-Trip @ 23¢/mile, the Authority's metric for fully-loaded auto costs</t>
  </si>
  <si>
    <t>SV-CV Period:                Per person cost of inter-regional round-trip by Auto; i.e. driver with one passenger = (.5 * 110% of 23¢/mile)</t>
  </si>
  <si>
    <t>SV-CV Period: Greyhound bus tansport times Monterey to San Jose, the nearest HSR station, piror to starting HSR-inclusive travel (minutes). No access or egress times included</t>
  </si>
  <si>
    <t>SV-CV Period:          Pre-HSR transportation Wait Times (minutes)</t>
  </si>
  <si>
    <t>SV-CV Period::         HSR Run Times between San Jose Diridon HSR station and Bakerfield or San Jose-Fresno for travel to Sacramento (minutes)</t>
  </si>
  <si>
    <t xml:space="preserve">SV-CV Period: Transfer Times for Authority Bus in Bakersfield to LA Basin or the Authority Bus in Madera to go to Sacramento </t>
  </si>
  <si>
    <t>SV-CV Period:        Run Time Authority Dedicated Bus Madera-Sacramento or Run Time Authority Bus Bakersfield-LAUS (minutes)</t>
  </si>
  <si>
    <t>SV-CV Period:           Wait Time in LAUS (30minutes) for Amtrak to San Diego  (minutes)</t>
  </si>
  <si>
    <t>SV-CV Period: Amtrak Pacific SurfPeriodr Run Time San Diego-LAUS (minutes)</t>
  </si>
  <si>
    <t>SV-CV Period: One-Way HSR and Authority Bus travel times (minutes)</t>
  </si>
  <si>
    <t>SV-CV Period:         Round-Trip HSR Run Times plus other Authority-offered transport modes.</t>
  </si>
  <si>
    <t>SV-CV Period:                            Round Trip HSR Total Travel Times (aka Door-to-Door or Home to Home times) = HSR Run Times + 142minutes (2*71minutes) of round-trip access+egress times</t>
  </si>
  <si>
    <t>SV-CV Period:        Greyhoud bus transit fares before HSR travel (does not include access cost)</t>
  </si>
  <si>
    <t>SV-CV Period:                HSR one-way fares from San Jose (SJ is the nearest HSR station to Montery) to SFTBT, Madera or Bakersfield</t>
  </si>
  <si>
    <t>SV-CV Period:          Authority Bus fare Madera-Sacramento or Bakersfield-LAUS after HSR ride</t>
  </si>
  <si>
    <t>SV-CV Period:       Onward travel-related transportation fares, LAUS-San Diego via Amtrak's Pacific SurfPeriodr</t>
  </si>
  <si>
    <t xml:space="preserve">SV-CV Period:          Total HSR Round-Trip HSR and Bus or Rail fares based on Table 2.2 p. 2-5 {PDF 25] of 2018 Ridersihip and Revenue Forecast </t>
  </si>
  <si>
    <t>SV-CV Period:                  Round-Trip, Total Travel Costs = HSR fares based on Table 2.2 + $23 for access+egress costs.</t>
  </si>
  <si>
    <t>SV-CV Period:             $$s paid round-trip per HSR passenger more than Auto driver. HSR fares based on Table 2.2. Auto costs based on 23¢/mile</t>
  </si>
  <si>
    <t>SV-CV Period:            $$s paid round-trip per HSR rider more than each of two Auto occupants. HSR fares based on Table 2.2. Auto costs based on [110% of 23¢/mile (25¢/mile)/2 occupants]</t>
  </si>
  <si>
    <t>SV-CV Period:                     Only one-way HSR miles based on distances between city pairs' rail stations.  Based on work of Dr. Paul Jones (2015) station-to-station mileage.</t>
  </si>
  <si>
    <t>SV-CV Period::     One-way Authority formula-based HSR fare</t>
  </si>
  <si>
    <t>SV-CV Period:                            One way, Authority formula-based HSR fares, plus other speciific, non-HSR costs related to that route</t>
  </si>
  <si>
    <t xml:space="preserve">SV-CV Period:            Round-Trip Formula-based HSR Fares on p. 2-6 {PDF 26] of 2018 R&amp;R Forecast plus other speciific, non-HSR costs related to that route </t>
  </si>
  <si>
    <t>SV-CV Period:              Round-Trip Formula Based Total Travel Costs = HSR Fares + $23 for access+egress costs</t>
  </si>
  <si>
    <t>SV-CV Period: Extra, formula-based $$s paid round-trip per HSR passenger vs. Auto driver traveling with 1 passenger</t>
  </si>
  <si>
    <t>One-way flight times-data between nearest commercial airports, in minutes.  See Web site Folders of Commerical AirPeriod Services</t>
  </si>
  <si>
    <t>SV-CV Period:  Total Travel Costs by Air vs. HSR's Total Travel Costs (negative number means HSR is cheaper than Air by $__)</t>
  </si>
  <si>
    <t xml:space="preserve"> Travel to/from Monterey to/from largest cities in the "Other Regions" category during SV-CV Period:  Since the traveler starts his/her Authority trip at the nearest Region's HSR station, in this case the MTC, as represented by San Jose.  Since Millbrea is not offered during SV-CV Period (2029-2033) it is not analyzed</t>
  </si>
  <si>
    <t>SV-CV Period: Cost of Driving Alone Round-Trip @ 23¢/mile, the Authority's metric for fully-loaded auto costs</t>
  </si>
  <si>
    <t>SV-CV Period:    Per person cost of inter-regional round-trip by HSR Authority transport (+ supplemental) public transit</t>
  </si>
  <si>
    <t>SV-CV Period: Round trip airfares and $23 of Round Trip access+egress costs</t>
  </si>
  <si>
    <t xml:space="preserve">The Pacific SurfPeriodr LAUS-San Diego runs only hourly, so the minimum Transfer Time is 30minutes.  See: https://tickets.amtrak.com/itd/amtrak </t>
  </si>
  <si>
    <t>SV-CV Period:                     One-way Distances in driving miles from the Santa Barbara Origin to designated Destination in the major regions where Ridership and Revenue are claimed</t>
  </si>
  <si>
    <t>SV-CV Period:                     Round-Trip driving mile distances from and returning to Santa Barbara</t>
  </si>
  <si>
    <t>SV-CV Period:          Pre-HSR transportation Wait Times: does not include access to HSR station times (minutes)</t>
  </si>
  <si>
    <t xml:space="preserve">SV-CV Period: Transfer Time from Greyhound bus at LAUS, the nearest HSR station, piror to starting HSR-inclusive travel, if applicable  (minutes) </t>
  </si>
  <si>
    <t>SV-CV Period: Transfer Times after HSR Ride to board HSR to Fresno (minutes)</t>
  </si>
  <si>
    <t>SV-CV Period:  Round-Trip HSR Run Times plus other Authority-offered transport modes.</t>
  </si>
  <si>
    <t>SV-CV Period:                             Round Trip HSR Total Travel Times (aka Door-to-Door or Home to Home times) = HSR Run Times + 142minutes (2*71minutes) of round-trip access+egress times</t>
  </si>
  <si>
    <t>SV-CV Period: Greyhoumd Bus fare Samta Barbara-Los Angeles before HSR travel (does not include access or egress costs)</t>
  </si>
  <si>
    <t>SV-CV Period:           Authority bus one-way fares from LAUS to Bakersfield (BFL) or Amtrak Pacific SurfPeriodr fare LAUS to San Diego</t>
  </si>
  <si>
    <t xml:space="preserve">SV-CV Period:          Authority Bus Fare one-way fares between Bakersfield (BFL), San Jose, Madera or Fresno </t>
  </si>
  <si>
    <t>SV-CV Period: Greyhound bus fare San Jose-Monterey ($23) plus Authority bus Madera-Sacramento.</t>
  </si>
  <si>
    <t>SV-CV Period: Total One Way Trip HSR and Bus or Rail fares</t>
  </si>
  <si>
    <t>SV-CV Period:        One-way Authority formula-based HSR fares</t>
  </si>
  <si>
    <t>SV-CV Period:                            One way, Authority formula-based HSR fares, plus other speciific, non-HSR costs related to traveling from Santa Barbara to a .specific Destination</t>
  </si>
  <si>
    <t xml:space="preserve"> Travel to/from Santa Barbara to/from largest cities in the "Other Regions" category during SV-CV Period:  Since the traveler starts his/her Authority trip at the nearest Region's HSR station, in this case SCAG (LA Basin), as represented by Los Angeles, is not analyzed</t>
  </si>
  <si>
    <t>SV-CV Period:                     One-way Distances in driving miles from the Redding Origin to designated Destination in the major regions where Ridership and Revenue are claimed</t>
  </si>
  <si>
    <t>SV-CV Period:                     Round-Trip driving mile distances from and returning to Redding</t>
  </si>
  <si>
    <t xml:space="preserve">SV-CV Period: Greyhound bus tansport times to get to Sacramento, the nearest HSR station, piror to starting HSR-inclusive travel (minutes) </t>
  </si>
  <si>
    <t>SV-CV Period:           Authority Dedicated Bus Run Times between Sacramento Amtrak Station and Madera to board HSR  (minutes)</t>
  </si>
  <si>
    <t>SV-CV Period:    Transfer Times in Madera to board HSR towards Destination after the Sacramento-Madera Authority Bus Ride (minutes)</t>
  </si>
  <si>
    <t>SV-CV Period: Greyhound bus fares between Redding and Sacramento (does not include access cost)</t>
  </si>
  <si>
    <t>SV-CV Period:        Authority-dedicated bus one-way fares Sacramento-Madera.</t>
  </si>
  <si>
    <t>SV-CV Period:                 HSR one-way fares, Madera to San Jose or Madera-Bakersfield (BFL)</t>
  </si>
  <si>
    <t xml:space="preserve">SV-CV Period: Authority's Tehachapi bus fare after HSR ride. </t>
  </si>
  <si>
    <t>SV-CV Period:     One-way Authority formula-based HSR fare</t>
  </si>
  <si>
    <t>SV-CV Period:                            One way, Authority formula-based HSR fares, plus other speciific, non-HSR costs related to traveling from Redding</t>
  </si>
  <si>
    <t xml:space="preserve"> Travel to/from Redding to/from largest cities in the "Other Regions" category during SV-CV Period:  The traveler starts his/her Authority portion of trip after Greyhound from Redding at the nearest Region's HSR station, in this case Sacramento. </t>
  </si>
  <si>
    <t>SV-CV Period:                     One-way Distances in driving miles from the South Lake Tahoe Origin to designated Destination in the major regions where Ridership and Revenue are claimed</t>
  </si>
  <si>
    <t>SV-CV Period:                     Round-Trip driving mile distances from and returning to South Lake Tahoe</t>
  </si>
  <si>
    <t>SV-CV Period:    Transfer Times in Sacramento to board HSR for Madera catch HSR train (minutes)</t>
  </si>
  <si>
    <t>SV-CV Period:         HSR Run Times between Madera Amtrak Station and San Jose or Bakersfield (minutes)</t>
  </si>
  <si>
    <t>SV-CV Period:     Transfer Time and Authority Bus' Run Time to LAUS after HSR ride to Bakersfield  (minutes)</t>
  </si>
  <si>
    <t>SV-CV Period:     Transfer Time at LAUS and Run Time LAUS-San Diego  (minutes)</t>
  </si>
  <si>
    <t>SV-CV Period: Greyhound Bus Fares South Lake Tahoe (actually Truckee) -Sacramento before HSR travel (does not include access or egress cost to the bus terminal)</t>
  </si>
  <si>
    <t>SV-CV Period:              One-way Authority Bus Fare Sacramento-Madera</t>
  </si>
  <si>
    <t>SV-CV Period:                 HSR one-way fares, Madera to San Jose, Madera-Bakersfield (BFL for LA and San Diego) and Madera-Fresno destinations</t>
  </si>
  <si>
    <t>SV-CV Period:               Authority Dedicated bus fare to cross the Tehachapi range, and Amtrak fare LAUS-San Diego</t>
  </si>
  <si>
    <t>SV-CV Period:             Total One Way Trip HSR and Bus or Rail fares</t>
  </si>
  <si>
    <t>SV-CV Period:       One-way Authority formula-based HSR fare</t>
  </si>
  <si>
    <t>SV-CV Period:                            One way, Authority formula-based HSR fares, plus other speciific, non-HSR costs related to traveling from South Lake Tahoe</t>
  </si>
  <si>
    <t>SV-CV Period:                     Round-Trip driving mile distances from and returning to Fresno</t>
  </si>
  <si>
    <t>SV-CV Period:         Run Times to SF and Bakersfield  (minutes)</t>
  </si>
  <si>
    <t>SV-CV Period: Onward HSR travel-related transportation fares</t>
  </si>
  <si>
    <t>SV-CV Period:                     One-way Distances in driving miles from the Origins to designated Destinations</t>
  </si>
  <si>
    <t>SV-CV Period:                     Round-Trip driving mile distances from and returning to the Origins</t>
  </si>
  <si>
    <t xml:space="preserve">SV-CV Period: Greyhound tansport times to get to the nearest HSR station (San Jose or LAUS) piror to starting HSR-inclusive travel (minutes) </t>
  </si>
  <si>
    <t>SV-CV Period:                        HSR Run Times,  San Jose-Bakersfield (121minutes) or  San Jose-Madera to catch Authority Bus northwards to Sacramento or for Santa Barbara originated travel Authority Bus Run Times LAUS-Bakersfield (160minutes)</t>
  </si>
  <si>
    <t>SV-CV Period: TransferTime to Authority bus, Bakersfield-LAUS or Run Time Bakersfield-Madera + Transfer Time in Madera for Authority Bus to Sacramento to continue  to S. Lake Tahoe, Redding or Greyhound bus LAUS-Santa Barbara, (minutes)</t>
  </si>
  <si>
    <t>SV-CV Period:                  Transfer Time in LAUS for Greyhound to Sta. Barbara and in Sacramento for Greyhound to Redding or S. Lake Tahoe</t>
  </si>
  <si>
    <t>SV-CV Period:                    Run Times of Greyhound bus LAUS-Sta. Barbara or Greyhound Bus Sacramento-S. Lake Tahoe (Truckee) (minutes)</t>
  </si>
  <si>
    <t>SV-CV Period  Round-Trip HSR Run Times plus other Authority-offered transport modes.</t>
  </si>
  <si>
    <t>SV-CV Period                             Round Trip HSR Total Travel Times (aka Door-to-Door or Home to Home times) = HSR Run Times + 142minutes (2*71minutes) of round-trip access+egress times</t>
  </si>
  <si>
    <t>SV-CV Period:             Fares before HSR travel: Monterey-San Jose and Santa Barbara-LAUS  (does not include access cost between home and Monterey Greyhound station or between home and Santa Barbara Greyhound station)</t>
  </si>
  <si>
    <t>SV-CV Period:               One-way HSR fares San Jose-Bakersfield ($87), San Jose-Madera ($62). For Sta. Barbara-Redding and Sta. Barbara-S. Lake Tahoe calculation is LAUS-Bakersfield Authority Bus fare ($13) to cross the Tehachapi plus HSR fare Bakersfield-Madera ($64)</t>
  </si>
  <si>
    <t xml:space="preserve">SV-CV Period:  Authority Bus Bakersfield-LAUS  ($13) OR for Madera-Sacramento for Redding and S. Lake Tahoe destinations, Authority Bus between Fresno and Sacramento ($10)   </t>
  </si>
  <si>
    <t xml:space="preserve">SV-CV Period: Onward Greyhound travel. One-way fares between LA and Santa Barbara ($13), between Sacramento and Redding ($28) between Sacramento and S. Lake Tahoe ($25) </t>
  </si>
  <si>
    <t xml:space="preserve">SV-CV Period          Total HSR Round-Trip HSR and Bus or Rail fares based on Table 3.1 p. 3-3 {PDF 27] of 2016 Ridersihip and Revenue Forecast </t>
  </si>
  <si>
    <t>SV-CV Period:           Round-Trip, Total Travel Costs = HSR fares based on Table 3.1 + ($23) for access+egress costs.</t>
  </si>
  <si>
    <t>SV-CV Period:     $$s paid round-trip per HSR passenger more than Auto driver. HSR fares based on Table 3.1. Auto costs based on 26¢/mile</t>
  </si>
  <si>
    <t>SV-CV Period:          $$s paid round-trip per HSR rider more than each of two Auto occupants. HSR fares based on Table 3.1. Auto costs based on [110% of 26¢/mile (29¢/mile)/2 occupants]</t>
  </si>
  <si>
    <t>10 of these 63 Adjacent Region analyses showed the HSR train would be Total Travel Time (TTT) competitive against Auto or Air's Total Travel Time (TTT) or Total Travel Cost (TTC) on round-trips during the SV-CV Period (2029-2033)</t>
  </si>
  <si>
    <t>ADJACENT REGIONS TRAVEL – Table 2.2 Fare Table and Fare Formula-Based Comparisons for HSR, Auto and Air Round-Trips during the SV-CV Period period (2029-2033)</t>
  </si>
  <si>
    <t>One-Way distances for travelers using HSR and or Authority buses – starting from the Los Angeles area (SCAG) during SV-CV Period - because the LA metro area is the largest in CA and because the Authority claims revenue derived from HSR operations to/from SJV, although the only link is a 2hour 12minute to a 2hour 40minute Authority bus ride over the Tehachapi Mountains</t>
  </si>
  <si>
    <t>SV-CV Period:                     Round-Trip driving mile distances from and returning to the LA Basin (SCAG)</t>
  </si>
  <si>
    <t>FSV-CV Period:          Round-Trip Door-to-Door Auto Travel Times</t>
  </si>
  <si>
    <t>SV-CV Period:                         Per person cost of inter-regional round-trip by Auto; i.e. driver with one passenger = (.5 * 110% of 23¢/mile)</t>
  </si>
  <si>
    <t>SV-CV Period:    Transit times prior to waiting for the Authority Dedicated Bus to cross Tehachapi range (LA-Bakersfield) - not counted in access+egress times</t>
  </si>
  <si>
    <t>SV-CV Period:             Run Times of Authority's Dedicated Bus linking LA to Bakersfield across the Tehachapis (minutes)</t>
  </si>
  <si>
    <t>SV-CV Period:           Wait Time in Bakersfield after Techachapi crossing to board northbound HSR (minutes)</t>
  </si>
  <si>
    <t>SV-CV Period:             HSR's fastest Run times (minutes) between Bakersfield and northward destinations</t>
  </si>
  <si>
    <t>SV-CV Period: Wait Time and transfer time at end of HSR travel (minutes)</t>
  </si>
  <si>
    <t>SV-CV Period: Travel time by Authority Dedicated Bus or BART after HSR travel</t>
  </si>
  <si>
    <t>SV-CV Period:           Round-Trip HSR Run Times plus other Authority-offered transport modes.</t>
  </si>
  <si>
    <t xml:space="preserve">SV-CV Period:   Fares prior to LA-Bakersfield Authority dedicated bus: e.g. LAUS-OC Gateway (Norwalk) or San Diego-LAUS or Anaheim </t>
  </si>
  <si>
    <t>SV-CV Period:                   LA-Bakersfield Dedicated bus fare</t>
  </si>
  <si>
    <t>SV-CV Period:         HSR Fares from Bakersfield northward to destinations</t>
  </si>
  <si>
    <t>SV-CV Period:          Bus fares north to/from Fresno (to Sacramento Area) or BART between SFTBT and Oakland</t>
  </si>
  <si>
    <t>SV-CV Period:              Total One Way Trip HSR and Bus or Rail fares</t>
  </si>
  <si>
    <t>SV-CV Period:                       Round-Trip, Total Travel Costs = HSR fares based on Table 2.2 + $23 for Round Trip access+egress costs.</t>
  </si>
  <si>
    <t>SV-CV Period:              One-way Authority formula-based HSR fare</t>
  </si>
  <si>
    <t>SV-CV Period::                            One way, Authority formula-based HSR fares, plus other speciific, non-HSR costs related to that route</t>
  </si>
  <si>
    <t xml:space="preserve">SV-CV Period:            Round-Trip Formula-based HSR Fares on p. 2-5 {PDF 25] of 2018 R&amp;R Forecast plus other speciific, non-HSR costs related to that route </t>
  </si>
  <si>
    <t>SV-CV Period:                          HSR Total Travel Costs round-trip, formula-based HSR fares and other specific fares &amp; Round-Trip access+egress costs ($23)</t>
  </si>
  <si>
    <t>SV-CV Period:        Extra, formula-based $$s paid round-trip per HSR passenger vs. Auto driver traveling with 1 passenger</t>
  </si>
  <si>
    <t>SV-CV Period:       Total Travel Costs by Air vs. HSR's Total Travel Costs (negative number means HSR is cheaper than Air by $__)</t>
  </si>
  <si>
    <t xml:space="preserve"> Travel to/from Los Angeles area (SCAG) during SV-CV Period - because the LA metro area is the largest in CA and because the Authority claims revenue derived from HSR operations to/from SJV, although the only link is a 2hour 12minute or 2hour 40minute Authority bus ride over the Tehachapi Mountains</t>
  </si>
  <si>
    <t>SV-CV Period: Transit times prior to waiting for the Authority Dedicated Bus to cross Tehachapi range (LA-Bakersfield) - not counted in access+egress times</t>
  </si>
  <si>
    <t>SV-CV Period:       One way, Authority formula-based HSR fares, plus other speciific, non-HSR costs related to that route</t>
  </si>
  <si>
    <t xml:space="preserve"> Travel to/from Los Angeles area (SCAG) during SV-CV Period - because the LA metro area is the largest in CA and because the Authority claims revenue derived from HSR operations to/from SJV, although the only link is a 2hour 12minute (132minutes) to 2hour 40minute (160minutes) Authority bus over the Tehachapi Mountains</t>
  </si>
  <si>
    <t>SV-CV Period:  Per person cost of inter-regional round-trip by HSR Authority transport (+ supplemental) public transit</t>
  </si>
  <si>
    <t>One-Way distances for travelers using HSR and or Authority buses – starting  from from the San Francisco Peninsula (MTC’s SF, San Mateo and Santa Clara counties – total population is 3.5million - because the San Jose is CA’s third largest city, San Francisco is CA’s 4th largest, and SF is CA's second most densely populated. Millbrae and Gilroy also served by HSR and are part of the three Peninsula counties. Also analyzed because the Authority claims revenue derived from HSR operating  to/from SJV during SV-CV Period</t>
  </si>
  <si>
    <t>SV-CV Period                     One-way Distances in driving miles from the SF Bay Area (MTC) Origin to designated Destination in the San Joaquin Valley (SJV)</t>
  </si>
  <si>
    <t>SV-CV Period:                     Round-Trip driving mile distances from and returning to the SF Bay Area (MTC)</t>
  </si>
  <si>
    <t>SV-CV Period:             HSR Run Times from MTC prior to  the Authority Dedicated Bus to Destination - access + egress times not counted</t>
  </si>
  <si>
    <t>SV-CV Period:            Wailt times at Bakersfield  for Dedicated Bus to cross the Techachapis to the LA Basin (minutes) not counted in access+egress times</t>
  </si>
  <si>
    <t>SV-CV Period:        One-Way HSR fares between Origin and Destination</t>
  </si>
  <si>
    <t>SV-CV Period:                  Dedicated bus fare</t>
  </si>
  <si>
    <t xml:space="preserve">SV-CV Period:         HSR Fares </t>
  </si>
  <si>
    <t>SV-CV Period:              Total One Way Trip HSR and Authority Bus fares</t>
  </si>
  <si>
    <t>SV-CV Period:         One way, Authority formula-based fares</t>
  </si>
  <si>
    <t>Round-Trip Travel to/from the San Francisco Peninsula (MTC’s SF, San Mateo and Santa Clara counties – total population is 3.5million - because the San Jose is CA’s third largest city, San Francisco is CA’s 4th largest, and SF is CA's second most densely populated. Millbrae and Gilroy also served by HSR and are part of the three Peninsula counties. Also analyzed because the Authority claims revenue derived from HSR operating  to/from SJV during SV-CV Period</t>
  </si>
  <si>
    <t>Note: there is no fAuthority service to/from Millbrae during SV-CV Period (2029-2033).  Name of Origin and Destination and one-way HSR miles between the stations. Note that HSR miles are often longer than driving miles  Although the Authority's  map of destinations during  2029-2033.   See Figure 2.1, p. 2-2  [PDF 22] of the 2018 Businness Plan, Ridership and Revenue Forecasting, Technical Supporting Document</t>
  </si>
  <si>
    <t>Note: there is no Authority service to/from Millbrae during SV-CV Period (2029-2033).  Name of Origin and Destination and one-way HSR miles between the stations. Note that HSR miles are often longer than driving miles  Although the Authority's  map of destinations during  2029-2033.   See Figure 2.1, p. 2-2  [PDF 22] of the 2018 Businness Plan, Ridership and Revenue Forecasting, Technical Supporting Document</t>
  </si>
  <si>
    <t>One-Way distances for travelers using HSR and or Authority buses – starting  from the San Francisco Peninsula (MTC’s SF, San Mateo and Santa Clara counties – total population is 3.5million - because the San Jose is CA’s third largest city, San Francisco is CA’s 4th largest, and SF is CA's second most densely populated. Millbrae and Gilroy also served by HSR and are part of the three Peninsula counties. Also analyzed because the Authority claims revenue derived from HSR operating  to/from SJV during SV-CV Period</t>
  </si>
  <si>
    <t>SV-CV Period:       HSR Run Times from MTC Origin to Madera prior to  the Authority Dedicated Bus to Destination (access + egress times not counted)</t>
  </si>
  <si>
    <t xml:space="preserve">SV-CV Period:            Ttransfer Times at Madera  for Dedicated Bus to destinations northward (minutes) </t>
  </si>
  <si>
    <t>SV-CV Period:             Run Times of Authority's Dedicated Bus linking Madera to northward San Joaquin Valley destinations (minutes)</t>
  </si>
  <si>
    <t>SV-CV Period:        One-Way HSR fares between Origin and Madera</t>
  </si>
  <si>
    <t>SV-CV Period:                Authority Dedicated bus fares from Madera to destinations</t>
  </si>
  <si>
    <t xml:space="preserve">SV-CV Period:         Further Authority Bu or HSR Fares </t>
  </si>
  <si>
    <t>SV-CV Period:       HSR Run Times from MTC Origins to Madera or Destination - access + egress times not counted</t>
  </si>
  <si>
    <t>SV-CV Period:            Transfer Time at Madera for Dedicated Bus to transfer to Dedicated Authority Bus northward to Merced  (minutes-not counted in access+egress times)</t>
  </si>
  <si>
    <t>SV-CV Period:             Run Times of Authority's Dedicated Bus linking Madera and Merced (minutes)</t>
  </si>
  <si>
    <t>SV-CV Period:           Wait Time in Bakersfield to catch the bus crossing the Techachapi range HSR (minutes)</t>
  </si>
  <si>
    <t>SV-CV Period:            Fares prior to taking HSR in Gilroy, San Jose or SF: does not include access + egress  costs</t>
  </si>
  <si>
    <t xml:space="preserve">SV-CV Period:                     One-way fares from Gilroy, San Jose,  SFTBT to destinations in the San Joaquin Valley </t>
  </si>
  <si>
    <t>SV-CV Period:             HSRAuthority bus fare: Madera to Merced</t>
  </si>
  <si>
    <t>SV-CV Period:            Further HSR-inclusive transport, Authority dedicated bus Merced-Sacramento</t>
  </si>
  <si>
    <t>SV-CV Period                     One-way Distances in driving miles from Oakland (MTC) Origin to designated Destination in the San Joaquin Valley (SJV)</t>
  </si>
  <si>
    <t>SV-CV Period:                     Round-Trip driving mile distances from and returning to Oakland (MTC)</t>
  </si>
  <si>
    <t>SV-CV Period:             HSR Run Times from San Francisco's Transbay Terminal (minutes)</t>
  </si>
  <si>
    <t>SV-CV Period: Wait (or Transfer) Time for bus ride to Merced and Sacramento after HSR ride to Fresno (minutes)</t>
  </si>
  <si>
    <t xml:space="preserve">SV-CV Period:     HSR Run Time (Madera-Merced and Madera-Sacramento) </t>
  </si>
  <si>
    <t>SV-CV Period:            BART fares prior to taking HSR in Gilroy, San Jose, Millbrae or SFTBT: does not include access to BART station costs</t>
  </si>
  <si>
    <t>SV-CV Period:           one-way fares from SFTBT to the San Joaquin Valley: Fresno, KT Hanford, Madera, and Bakersfield</t>
  </si>
  <si>
    <t>SV-CV Period:             Authority HSR train fare for Fresno to Merced</t>
  </si>
  <si>
    <t>SV-CV Period:            Further HSR-inclusive transport, i.e. Madera-Merced and Madera-Sacramento dedicated bus</t>
  </si>
  <si>
    <t>SV-CV Period:              One-way, Table 2.2-based HSR fares, plus other speciific, non-HSR costs related to that route</t>
  </si>
  <si>
    <t>SV-CV Period:                    HSR Total Travel Costs round-trip, formula-based HSR fares and other specific fares &amp;  access+egress costs ($23)</t>
  </si>
  <si>
    <t>SV-CV Period:        Minutes saved traveling round-trip Door-to-Door using Air travel - includes 90 (2*45) minutes for airport security not added for HSR travel</t>
  </si>
  <si>
    <t>The 12th St. Oakland Center to Embarcadero BART Period takes 12minutes and costs $3.45. Found at: http://www.bart.gov/tickets/calculator. There are no prior-to-HSR-travel in these calculations</t>
  </si>
  <si>
    <t xml:space="preserve">One-Way distances for travelers using HSR and or Authority buses – starting  from the the San Joaquin Valley (SJV Region) because Fresno is CA's fifth largest city and because the Authority claims HSR revenue derived from HSR travel to Adjacent regions during SV-CV Period.  miles  </t>
  </si>
  <si>
    <t xml:space="preserve">SV-CV Period                     One-way Distances in driving miles </t>
  </si>
  <si>
    <t>SV-CV Period:   Transfer time in Madera for Sacramento bus or HSR to Gilroy  (minutes)</t>
  </si>
  <si>
    <t>SV-CV Period:              Run Times Madera-San Jose, Fresno-Madera and Madera-Gilroy (minutes)</t>
  </si>
  <si>
    <t>SV-CV Period: Run Times for Authority bus crossing the Tehachapi range or HSR Run Time Fresno-Madera</t>
  </si>
  <si>
    <t>SV-CV Period:     Run Time Madera-Sacramento and Madera-Gilroy</t>
  </si>
  <si>
    <t>SV-CV Period: Transfer Time (Wait Time) in LAUS for Metrolink to Anaheim</t>
  </si>
  <si>
    <t>SV-CV Period:     Metrolink Run Time LAUS-Anaheim</t>
  </si>
  <si>
    <t>SV-CV Period:    Fares prior to passenger using the  Authority dedicated bus; i.e. Fresno-Madera</t>
  </si>
  <si>
    <t>SV-CV Period:                   LAUS-Bakersfield Dedicated bus fare</t>
  </si>
  <si>
    <t>SV-CV Period:                   Madera-Sacramento and Fresno-Madera Authority Dedicated Bus fares</t>
  </si>
  <si>
    <t>SV-CV Period:            Further HSR-inclusive transport, i.e. madera-Gilroy by HSR and LAUS-Anaheim by Metrolink</t>
  </si>
  <si>
    <t>SV-CV Period:                 One-way, Table 2.2 and quote-based HSR fares, plus other speciific, non-HSR costs (Metrolink) related to that route</t>
  </si>
  <si>
    <t xml:space="preserve">Round-Trip Travel to/from the the San Joaquin Valley (SJV Region) because Fresno is CA's fifth largest city and because the Authority claims HSR revenue derived from HSR travel to Adjacent regions during SV-CV Period.  miles  </t>
  </si>
  <si>
    <t xml:space="preserve">Note: Palmdale is not served by HSR buses during SV-CV Period. In this analysis we have used the SV-CV Period Origins and Destinations, since with the exception of LAUS, those listed in SV-CV Period are abandoned within four years and cause confusion during 2033 when some part of that year will still be SV-CV and the other SV-CV Period.  Name of Origin and Destination and one-way HSR miles between the stations. Note that HSR miles are often longer than driving </t>
  </si>
  <si>
    <t xml:space="preserve">One-Way distances for travelers using HSR and or Authority buses – starting  from the the San Joaquin Valley (SJV Region) because Fresno is CA's fifth largest city and because the Authority claims HSR revenue derived from HSR travel to Adjacent regions during SV-CV Period. </t>
  </si>
  <si>
    <t>SV-CV Period:            Transfer Times in Madera (minutes) to take HSR train to SFTBT</t>
  </si>
  <si>
    <t>SV-CV Period: Run Times for Authority bus crossing the Tehachapi range. n.b. Palmdale is not served by HSR buses during SV-CV Period</t>
  </si>
  <si>
    <t>SV-CV Period:  Other HSR related travel time</t>
  </si>
  <si>
    <t>SV-CV Period:            Authority Bus fares prior to taking the Tehachapi bus Fresno-Bakersfield or from Merced to take HSR in Fresno.</t>
  </si>
  <si>
    <t>SV-CV Period:            Further HSR or other transport fares</t>
  </si>
  <si>
    <t xml:space="preserve">Round-Trip Travel to/from the the San Joaquin Valley (SJV Region) because Fresno is CA's fifth largest city and because the Authority claims HSR revenue derived from HSR travel to Adjacent regions during SV-CV Period.  </t>
  </si>
  <si>
    <t>Note; Although Dedicated Authority Buses serve Van Nuys, West LA, and Santa Anita during  SV-CV Period (2029-2033) this is the only instance of such service, making analysis of these Orgins and Destinations an anomaly and leading the Authors to substitute OC Gateway and Anaheim - the post-2033 - destinations as being more realistic. Also,  Authority patrons on the two routes that are cheaper than driving (LA-Bakersfield and OC Gateway-Bakersfield) are not subsidized. The Authority dedicated bus over the Tehachapi range wil charge $13 and the Greyhound Bus on the route charges $12.  See: https://www.greyhound.com/en/ecommerce/schedule</t>
  </si>
  <si>
    <t xml:space="preserve">SV-CV Period:            Transfer Times in  Bakersfield-to catch the Authority cross-Tehachapi Bus (minutes). </t>
  </si>
  <si>
    <t xml:space="preserve">SV-CV Period:     Run Times Bakersfield-LAUS </t>
  </si>
  <si>
    <t>SV-CV Period:     Transfer Times for Metrolink to Anaheim and OC Gateway</t>
  </si>
  <si>
    <t>SV-CV Period:   Fares before HSR travel (does not include access or egress cost)</t>
  </si>
  <si>
    <t>SV-CV Period:             HSR one-way fares to SFTBT or from Fresno or Madera to Bakersfield.</t>
  </si>
  <si>
    <t>SV-CV Period: Dedicated Authority Bus fare after HSR ride to LAUS from Bakersfield</t>
  </si>
  <si>
    <t>SV-CV Period:   Onward HSR travel-related transportation fares</t>
  </si>
  <si>
    <t>Round-Trip Travel to/from the the San Joaquin Valley (SJV Region) because Fresno is CA's fifth largest city and because the Authority claims HSR revenue derived from HSR travel to Adjacent regions during SV-CV Period.</t>
  </si>
  <si>
    <t>One-Way distances for travelers using HSR and or Authority buses – starting  from  Sacramento's Amtrak Station because Sacramento is the 6th most populated city, the 5th most densely populated city in CA and because the Authority claims revenue derived from HSR travel to/from SACOG to Adjancent Regions (MTC and SJV) during SV-CV Period  .</t>
  </si>
  <si>
    <t>SV-CV Period:                     One-way Distances in driving miles from Sacramento to a designated Destination in the San Joaquin Valley or the SF Bay Area (MTC)</t>
  </si>
  <si>
    <t>SV-CV Period:                     Round-Trip driving mile distances from Sacramento and return to Sacramento</t>
  </si>
  <si>
    <t>SV-CV Period:          Pre-HSR transportation Wait Times: does not include access to Sacramento HSR station nor egress times at HSR station to destinations (minutes)</t>
  </si>
  <si>
    <t xml:space="preserve">SV-CV Period: Transfer Times (Wait Time) </t>
  </si>
  <si>
    <t xml:space="preserve">SV-CV Period:     HSR Run Times </t>
  </si>
  <si>
    <t>SV-CV Period: Other HSR travel time (does not include access or egress times)</t>
  </si>
  <si>
    <t>SV-CV Period:            Authority Dedicated Bus fares Sacramento-Fresno prior to or after taking HSR in Madera.</t>
  </si>
  <si>
    <t>SV-CV Period:            HSR one-way fares from Madera to final Destination</t>
  </si>
  <si>
    <t xml:space="preserve">SV-CV Period:             </t>
  </si>
  <si>
    <t>SV-CV Period:                      One-way, Table 2.2-based HSR fares, plus other speciific, non-HSR costs related to that route</t>
  </si>
  <si>
    <t xml:space="preserve">SV-CV Period:         Round-trip transportation costs w/HSR fares based on Authority's formulas plus ancillary, route-specific fares  </t>
  </si>
  <si>
    <t>SV-CV Period:    HSR  Run Times Madera-KT Hanford, Madera-BFL, Madera-SFTBT and Madera-San Jose</t>
  </si>
  <si>
    <t>SV-CV Period: Transfer Time in San Jose for Caltrain to Millbrae</t>
  </si>
  <si>
    <t xml:space="preserve">SV-CV Period:     Caltrain Run Time San Jose Diridon-Millbrae </t>
  </si>
  <si>
    <t>SV-CV Period:            HSR one-way fares from Madera to destination - except for Madera-San Jose-Millbrae</t>
  </si>
  <si>
    <t xml:space="preserve">SV-CV Period:     Caltrain fare San Jose-Millbrae        </t>
  </si>
  <si>
    <t>SV-CV Period: Onward travel-related transportation fares</t>
  </si>
  <si>
    <t>SV-CV Period:                     One-way Distances in driving miles from San Diego to a designated Destination</t>
  </si>
  <si>
    <t>SV-CV Period:                     Round-Trip driving mile distances from San Diego and return to San Diego</t>
  </si>
  <si>
    <t>SV-CV Period:                   Round-Trip Door-to-Door Auto Travel Times</t>
  </si>
  <si>
    <t>SV-CV Period:   Transfer time in LAUS for Metrolink to Brubank Airport (BUR) or Palmdale (minutes)</t>
  </si>
  <si>
    <t>SV-CV Period:    Metrolink Run Times to Burbank Airport (BUR) (no Palmdale HSR or Bus service during SV-CV Period - 2029-2033)</t>
  </si>
  <si>
    <t>SV-CV Period:   No other data inputs</t>
  </si>
  <si>
    <t>SV-CV Period: One-Way Amtrak Pacific SurfPeriodr travel times (minutes)</t>
  </si>
  <si>
    <t>SV-CV Period: Metrolink one-way fares LAUS-BUR</t>
  </si>
  <si>
    <t>SV-CV Period:   No further rail or bus fares after HSR ride to either Burbank Airport (BUR) or Palmdale (not served 2019-2033)</t>
  </si>
  <si>
    <t>SV-CV Period:         One way, Amtrak and Metrolink fares</t>
  </si>
  <si>
    <t>SV-CV Period:                  HSR Total Travel Costs round-trip, formula-based HSR fares and other specific fares &amp;  access+egress costs ($23)</t>
  </si>
  <si>
    <t>The $28 and $37 fares are the Amtrak Pacific SurfPeriodr fares between San Diego, Anaheim or San Diego LAUS. Found at: https://tickets.amtrak.com/itd/amtrak</t>
  </si>
  <si>
    <t>SV-CV Period                     One-way Distances in driving miles from the LA Basin (SCAG) Origin to designated Destination in the San Francisco Bay Area MTC); n .b there is no type of Authority service to Palmdale during SV-CV Period</t>
  </si>
  <si>
    <t>SV-CV Period: Total One-Way Travel Times using HSR, and if needed other public transit modes (minutes)</t>
  </si>
  <si>
    <t>SV-CV Period:   Fares from Bakersfield northward after to LA-Bakersfield Authority dedicated bus ride to Bakerfield</t>
  </si>
  <si>
    <t>SV-CV Period: HSR fares to other northward to destinations</t>
  </si>
  <si>
    <t>SV-CV Period:   Total One Way Trip HSR and Bus or Rail fares</t>
  </si>
  <si>
    <t xml:space="preserve">SV-CV Period:                       HSR Total Travel Costs round-trip, formula-based HSR fares, other specific fares and $23 of Round-Trip access+egress costs </t>
  </si>
  <si>
    <t>SV-CV Period:  Total Travel Costs by Air vs. HSR's Total Travel Costs (negative number means HSR is cheaper than Air by $__</t>
  </si>
  <si>
    <t xml:space="preserve">Non-adjacent region travel: Table 2.2 fares and fare formula-based comparisons of HSR, Auto and Air Total Travel Times and Total Travel Costs durng SV-CV Period </t>
  </si>
  <si>
    <t>SV-CV Period:            Round-Trip Door-to-Door Auto Travel Times + 15% upwards adjustment for travel times with traffic congestion</t>
  </si>
  <si>
    <t>SV-CV Period:                      Per person cost of inter-regional round-trip by Auto; i.e. driver with one passenger = (.5 * 110% of 23¢/mile)</t>
  </si>
  <si>
    <t>SV-CV Period:             Run Times of Authority's Dedicated Bus linking LA regions stops to Bakersfield across the Tehachapis (minutes)</t>
  </si>
  <si>
    <t>SV-CV Period: Metro Blue fare before starting HSR travel at LAUS (does not include access cost)</t>
  </si>
  <si>
    <t>SV-CV Period:           Dedicated bus fare before starting HSR travel northward from Bakkersfield (does not include access cost)</t>
  </si>
  <si>
    <t>SV-CV Period:        HSR fares Bakersfield-San Jose, Gilroy or Millbrae because during SV-CV Period, HSR does not cross the Tehachapi Range</t>
  </si>
  <si>
    <t>SV-CV Period: BART fare to Oakland after HSR ride to SFTBT</t>
  </si>
  <si>
    <t>SV-CV Period: Total One Way Trip HSR with Auhority Dedicated Bus and BART fares</t>
  </si>
  <si>
    <t>SV-CV Period:        $$s paid round-trip per HSR passenger more than Auto driver. HSR fares based on Table 2.2. Complete Auto costs based on 23¢/mile</t>
  </si>
  <si>
    <t>SV-CV Period:            One-way Authority formula-based HSR fare</t>
  </si>
  <si>
    <t>SV-CV Period:                            One way, Authority formula-based HSR fares, plus other speciific, non-HSR transportaton costs related to that route</t>
  </si>
  <si>
    <t xml:space="preserve">See notes on p. A-3 [PDF 63] of 2016 Business Plan, Ridership and Revenue Forecasting, Technical Supporting Document. 42minutes are added for Anaheim-LAUS Metrolink trave. Metrolink Anaheim-LAUS fare is $8.75. The Metro Blue Period LAUS-Long Beach is 81minutes and the one-way fare is $1.75. 
</t>
  </si>
  <si>
    <t xml:space="preserve"> The  one-way Metro Blue Period LAUS-Long Beach fare is $1.75.  Metrolink OC Gateway (Norwalk) is $6.50 and Metrolink Anaheim-LAUS fare is $8.75.</t>
  </si>
  <si>
    <t>SV-CV Period:                     One-way Distances in driving miles from the SF Bay Area (MTC) Origin to designated Destination</t>
  </si>
  <si>
    <t>SV-CV Period:                     Round-Trip driving mile distances from and returning to the SF Bay Area (MTC) Origin</t>
  </si>
  <si>
    <t>SV-CV Period:     Wait Time for transport prior to taking HSR (minutes)</t>
  </si>
  <si>
    <t xml:space="preserve">SV-CV Period: Tansport times to get to SFTBT piror to starting HSR-inclusive travel (minutes) </t>
  </si>
  <si>
    <t>SV-CV Period:     HSR Run Times between Gilroy, San Jose, and SFTBT to Bakersfield to take Authoroity Dedicated Bus over the Tehachapis (minutes)</t>
  </si>
  <si>
    <t>SV-CV Period:  Tehachapi crossing bus ride after HSR ride (minutes)</t>
  </si>
  <si>
    <t>SV-CV Period: Wait Time at end of HSR travel for Metro Blue to Long Beach (minutes)</t>
  </si>
  <si>
    <t>SV-CV Period: Travel time by Authority bus or BART after HSR travel</t>
  </si>
  <si>
    <t>SV-CV Period:      Transit fares before HSR travel (does not include access cost)</t>
  </si>
  <si>
    <t xml:space="preserve">SV-CV Period:        Fares for SF Bay Area (MTC) to Bakersfield to take Dedicated Authority Bus for Techachapi crossing </t>
  </si>
  <si>
    <t>SV-CV Period:      Metro Blue and Metrolink fares after HSR ride, then Dedicated Bus Ride</t>
  </si>
  <si>
    <t>Only Bakersfield (BFL) to destination mileage is used for the computation as the San Diego-LAUS fares on Amtrak's Pacific SurfPeriodr and the trans-Tehachapi Range costs are computed elsewhere. Formulas found on p. 2-6 {PDF 26] of 2018 Business Plan Ridership and Revenue Forecasts, Technical Supporting Document</t>
  </si>
  <si>
    <t>SV-CV Period:             Round-Trip Door-to-Door Auto Travel Times + 15% upwards adjustment for travel times with traffic congestion</t>
  </si>
  <si>
    <t>SV-CV Period: HSR Run Times between SFTBT and San Jose to Bakersfield to take Authoroity Dedicated Bus over the Tehachapis (minutes)</t>
  </si>
  <si>
    <t>SV-CV Period: Wait Times (Transfer Times) after HSR Ride (minutes) befoe Dedicated Bus Ride</t>
  </si>
  <si>
    <t>SV-CV Period: Wait Time at end of HSR travel for Metro Blue to Long Beach or to San Diego (minutes)</t>
  </si>
  <si>
    <t>SV-CV Period: Authority Dedicated bus rider over the Tehachapi range</t>
  </si>
  <si>
    <t>SV-CV Period: Metro Blue and Amtrak Pacifc SurfPeriodr fares to Long Beach and San Diego after HSR ride</t>
  </si>
  <si>
    <t>SV-CV Period:  One-way, Table 2.2-based HSR fares, plus other speciific, non-HSR costs related to that route</t>
  </si>
  <si>
    <t>SV-CV Period::         One-way Authority formula-based HSR fare</t>
  </si>
  <si>
    <t xml:space="preserve">The transfer time at LAUS for Amtrak to San Diego is 30minutes since Amtrak's Pacific SurPeriodr runs hourly. </t>
  </si>
  <si>
    <t>Metrolink's LAUS-Anaheim Run Time is 42minutes. The Amtrak Pacific SurPeriodr's Run Time LAUS-San Diego is 170minutes</t>
  </si>
  <si>
    <t>SV-CV Period:                     Round-Trip driving mile distances from and returning to an Oakland (MTC) Origin</t>
  </si>
  <si>
    <t xml:space="preserve">SV-CV Period:  BART Run Times piror to HSR travel. Does not include access to HSR station times (minutes) </t>
  </si>
  <si>
    <t>SV-CV Period:    HSR Run Times from San Francisco's Transbay Terminal to Bakersfield  (minutes)</t>
  </si>
  <si>
    <t>SV-CV Period:          Wait (or Transfer) Time in Bakersfield for an Authority Dedicated bus ride to LA Basin  (minutes)</t>
  </si>
  <si>
    <t>SV-CV Period:     Authority's Dedicated Bus Run Run Times Bakersfield to LAUS and BUR</t>
  </si>
  <si>
    <t xml:space="preserve">SV-CV Period: Other Transfer Times (Wait Times) </t>
  </si>
  <si>
    <t>SV-CV Period:            BART fares prior to taking HSR at SFTBT: does not include access costs</t>
  </si>
  <si>
    <t>SV-CV Period:           One-way fares from SFTBT to Bakerfield to take the Authority Dedicated Bus to cross the Tehachapi range</t>
  </si>
  <si>
    <t>SV-CV Period:            Further HSR-inclusive transport, i.e. Fresno-Merced and Fresno-Sacramento dedicated bus</t>
  </si>
  <si>
    <t>SV-CV Period:             One-way Authority formula-based HSR fare</t>
  </si>
  <si>
    <t>Note that HSR miles here are 10miles longer than used to plot formula-based fares, as that will be only part of the Total Travel Cost for each of those routes -BART miles being incorporated into the Total Travel Costs. The Authority does not serve Palmdale with either HSR or bus service during SV-CV Period</t>
  </si>
  <si>
    <t>SV-CV Period:                     One-way Distances in driving miles from Sacramento to designated Destination</t>
  </si>
  <si>
    <t>SV-CV Period:                     Round-Trip driving mile distances from and returning to Sacramento</t>
  </si>
  <si>
    <t>SV-CV Period:                            Per person cost of inter-regional round-trip by Auto; i.e. driver with one passenger = (.5 * 110% of 26¢/mile)</t>
  </si>
  <si>
    <t>SV-CV Period: Wait Time for Sacramento-Madera Dedicated Authority Bus (minutes)</t>
  </si>
  <si>
    <t xml:space="preserve">SV-CV Period: Authority Bus' Run Time Sacramento-Madera piror to starting HSR travel (minutes) </t>
  </si>
  <si>
    <t>SV-CV Period: Run Times for HSR Ride to Bakersfield prior to taking Authority Bus to cross the Tehachapi range (minutes)</t>
  </si>
  <si>
    <t>SV-CV Period: Run Time of  Authority's bus to LA Basin destinations n.b. Palmdale is not served by the Authority in any manner during SV-CV Period (minutes)</t>
  </si>
  <si>
    <t>SV-CV Period: Metrolink LAUS-Anahiem and Amtrak's Pacific SurPeriod Run Time LAUS-San Diego (minutes)</t>
  </si>
  <si>
    <t>SV-CV Period: Authority Dedicated Bus fares Sacramento-to Madera before/after HSR travel (does not include access or egress costs)</t>
  </si>
  <si>
    <t>SV-CV Period:      HSR fare Madera to Bakersfield (to board Dedicated Tehachapi Bus)</t>
  </si>
  <si>
    <t>SV-CV Period: Cross Tehachapi Dedicated Bus fare after HSR ride</t>
  </si>
  <si>
    <t>SV-CV Period:  Onward HSR travel-related transportation fares (does not include the costs of getting to and from an HSR station)</t>
  </si>
  <si>
    <t>SV-CV Period: LAUS-Anahiem via Metrolink and LAUS-San Diego one-way Amtrak Pacific SurfPeriodr fare</t>
  </si>
  <si>
    <t>SV-CV Period::          One-way Authority formula-based HSR fare for Madera-Bakersfield</t>
  </si>
  <si>
    <t xml:space="preserve">Only Bakersfield (BFL) to destination mileage is used for the computation as the San Diego-LAUS fares on Amtrak's Pacific SurfPeriodr and the trans-Tehachapi Range costs are computed elsewhere. Formulas for cost per mile found on p. 2-6 {PDF 26] of 2018 Business Plan Ridership and Revenue Forecasts, Technical Supporting Document
Only Bakersfield (BFL) to destination mileage is used for the computation as the San Diego-LAUS fares on Amtrak's Pacific SurfPeriodr and the trans-Tehachapi Range costs are computed elsewhere. Formulas found on p. 2-6 {PDF 26] of 2018 Business Plan Ridership and Revenue Forecasts, Technical Supporting Document
</t>
  </si>
  <si>
    <t>SV-CV Period:                     One-way Distances in driving miles from San Diego region (SANDAG) Origin to designated Destination</t>
  </si>
  <si>
    <t>SV-CV Period:                     Round-Trip driving mile distances from and returning to the SANDAG region</t>
  </si>
  <si>
    <t>SV-CV Period: Wait Time for HSR connection at San Diego to go to Los Angeles Union Station - does not include access time in San Diego (minutes)</t>
  </si>
  <si>
    <t xml:space="preserve">SV-CV Period:  Amtrak's Run Time to get to LAUS piror to start HSR-inclusive travel (minutes) </t>
  </si>
  <si>
    <t>SV-CV Period: Wait Times (Transfer Times) to board Authority Bus to Bakersfield (minutes)</t>
  </si>
  <si>
    <t>SV-CV Period:  Tehachapi crossing bus ride (LAUS-Bakersfield) Run Time prior to HSR ride (minutes)</t>
  </si>
  <si>
    <t>SV-CV Period: Wait Time at end of Authority's bus travel HSR ride (minutes)</t>
  </si>
  <si>
    <t>SV-CV Period: Run Time of HSR from Bakersfield to northward destinations (minutes)</t>
  </si>
  <si>
    <t>SV-CV Period: Travel time by Authority bus to Merced after HSR travel</t>
  </si>
  <si>
    <t>SV-CV Period: Authority's Dedicated Bus fare for crossing the Tehachapi range to Bakersfield</t>
  </si>
  <si>
    <t>SV-CV Period: HSR fares from Bakersfield to destinations or Madera</t>
  </si>
  <si>
    <t xml:space="preserve">SV-CV Period: Onward HSR travel by Authority Bus </t>
  </si>
  <si>
    <t>SV-CV Period::             One-way Authority formula-based HSR fare</t>
  </si>
  <si>
    <t>Pacific SurPeriodr Train #173's Run Time San Diego-LAUS is 170minutes. See: https://tickets.amtrak.com/itd/amtrak</t>
  </si>
  <si>
    <t>Amtrak's Pacific SurfPeriodr runs hourly, therefore a minimum of a 30minute wait</t>
  </si>
  <si>
    <t>Although the Authority's Figure 2.1 map of IOS destinations destinations during SV-CV Period shows a stop at Kings Tulare [PDF 25] shows Visalia as an HSR destination. See 2018 FINAL Businness Plan, Ridership and Revenue Forecasting, Technical Supporting Document (June 2018)</t>
  </si>
  <si>
    <t>SV-CV Period: Wait Time in Bakersfield at end of Authority's bus travel HSR ride (minutes)</t>
  </si>
  <si>
    <t>SV-CV Period:        HSR fares from Bakersfield to destinations or Madera</t>
  </si>
  <si>
    <t>SV-CV Period: Onward HSR travel by Authority Bus Madera-Merced</t>
  </si>
  <si>
    <t xml:space="preserve">Note: between 2029 and 2040, there is no Authority HSR or Bus service available to/from San Diego County.  All travelers using any Authority route must take Amtrak's Pacific SurfPeriodr - a nearly 3hour journey to LAUS charging a $36 fee.  </t>
  </si>
  <si>
    <t>SV-CV Period:    Run Time of HSR from Bakersfield to Madera (minutes)</t>
  </si>
  <si>
    <t>SV-CV Period::             One-way Authority formula-based HSR fare Bakersfield-Madera</t>
  </si>
  <si>
    <t>0 of these 11 intra-regional analyses showed that the HSR train would be Total Travel Time (TTT) competitive against Auto or Air's Total Travel Time (TTT) or Total Travel Cost (TTC) on round-trips during the SV-CV Period (2029-2033)</t>
  </si>
  <si>
    <t>SV-CV Period: One-way Auto driving miles. Driving miles will be shorter than HSR miles</t>
  </si>
  <si>
    <t xml:space="preserve">SV-CV Period:                Round-trip Auto driving miles </t>
  </si>
  <si>
    <t>SV-CV Period:                          Per person cost of intra-regional round-trip by Auto; i.e. driver with one passenger = (.5 * 110% of 23¢/mile) (miles)</t>
  </si>
  <si>
    <t>SV-CV Period:                      Per person fares for intra-regional round-trip by Caltrain, Metrolink or Amtrak (2018 $$s)</t>
  </si>
  <si>
    <t>FARES  BASED COMPARISONS OF HSR, AUTO &amp; REGIONAL ROUND TRIPS WITHIN A REGION DURING SV-CV Period</t>
  </si>
  <si>
    <t>SV-CV Period:Cost of Driving Alone Round-Trip @ 23¢/mile, the Authority's metric for fully-loaded auto costs</t>
  </si>
  <si>
    <t>SV-CV Period: MTC  SF-Gilroy/78miles</t>
  </si>
  <si>
    <t>SV-CV Period: Madera-Bakersfield/140 miles</t>
  </si>
  <si>
    <t>SV-CV Period:  Madera-Bakersfield/                                                      140miles</t>
  </si>
  <si>
    <t>SV-CV Period: Merced-Bakersfield/164 miles</t>
  </si>
  <si>
    <t>SV-CV Period: Merced-Bakersfield/                                          164 miles</t>
  </si>
  <si>
    <t>SV-CV Period period (2029-2033): Table 2.2 fare-based comparisons of Total Travel Times and Total Travel Costs for lesser mileage, intra-regional routes for HSR and Auto travel in the two regions (MTC and San Joaquin Valley) where ±200mph service is available during SV-CV Period - starting with the shortest station-to station miles.</t>
  </si>
  <si>
    <t>SV-CV Period:  Cost of Driving Alone Round-Trip @ 23¢/mile, the Authority's metric for fully-loaded auto costs</t>
  </si>
  <si>
    <t>SV-CV Period:  Table 2.2 based Round-trip, Origin-to-Destination HSR Fares ($s) and $23 of access+egress costs</t>
  </si>
  <si>
    <t>SV-CV Period: Per person fares for intra-regional round-trip by Caltrain, Metrolink or Amtrak (2017 $$s) and $23 of access+egress costs</t>
  </si>
  <si>
    <t>SV-CV Period: Cost of Driving Alone Round-Trip @ 26¢/mile, the Authority's metric for fully-loaded auto costs</t>
  </si>
  <si>
    <t>SV-CV Period: Per person cost of intra-regional round-trip fares using HSR; bassed on Figure 2.2 fares and $23 of access + egress round-trip costs</t>
  </si>
  <si>
    <t>SV-CV Period: Per person fares for intra-regional round-trip by Caltrain, Metrolink or Amtrak (2017 $$s) and $23 of access + egress costs</t>
  </si>
  <si>
    <t>SV-CV Period Bus and HSR Run Times from Appendix A,Table 1.1.1 and Table A.1.2, p. A-1 [PDF 61] of 2018  Ridership and Revenue Forecasting, Technical Supporting Document. Since Merced is inside the San Joaquin Valley, but there is NO HSR service between Merced and Madera during SV-CV Period period,  a wait time (15minutes) and the Authority bus Run Time (40minutes) is added to get the proper travel time</t>
  </si>
  <si>
    <t>SV-CV Period-Total Travel Time (minutes) saved by Auto travelers (using 15% uplift of time) versus HSR travelers  (negative # is TTT minutes more of Auto travel than HSR travel)</t>
  </si>
  <si>
    <t>SV-CV Period: Total Travel Time gained (TTT minutes) round-trip using Air vs. HSR (negative #s are TTT minutes saved by HSR travelers over Air travelers)</t>
  </si>
  <si>
    <t>Los Angeles-Bakersfield/                160miles</t>
  </si>
  <si>
    <t>Los Angeles-KT Hanford /                  223miles</t>
  </si>
  <si>
    <t>Los Angeles-Fresno/                                                267miles</t>
  </si>
  <si>
    <r>
      <t xml:space="preserve">Los Angeles-Madera/                                             </t>
    </r>
    <r>
      <rPr>
        <b/>
        <sz val="9"/>
        <color rgb="FF000000"/>
        <rFont val="Calibri"/>
        <family val="2"/>
      </rPr>
      <t xml:space="preserve"> 291miles</t>
    </r>
  </si>
  <si>
    <t>Los Angeles-Merced/                                          348miles</t>
  </si>
  <si>
    <t>San Francisco-Madera/                                      178miles</t>
  </si>
  <si>
    <t>San Francisco-Merced/                                      202miles</t>
  </si>
  <si>
    <t>San Francisco-Turlock/                                        230miles</t>
  </si>
  <si>
    <t>San Francisco-Modesto/                                          245miles</t>
  </si>
  <si>
    <t>San Francisco-Fresno/                             199miles</t>
  </si>
  <si>
    <t>San Francisco-KT Hanford/                              243miles</t>
  </si>
  <si>
    <t>Fresno-Los Angeles/                                                      267miles</t>
  </si>
  <si>
    <t>Bakersfield-San Francisco/                                                306miles</t>
  </si>
  <si>
    <t xml:space="preserve"> Sacramento-San Francisco/                                            314miles</t>
  </si>
  <si>
    <t>Sacramento-Bakersfield/                                     280miles</t>
  </si>
  <si>
    <r>
      <t xml:space="preserve">See Table A.1.2 p. A-1 [PDF 61] of the 2018 Business Plan, Ridership and Revenue Forecasting, Technical Supporting Document (June 2018). </t>
    </r>
    <r>
      <rPr>
        <sz val="7"/>
        <color theme="1"/>
        <rFont val="Calibri"/>
        <family val="2"/>
      </rPr>
      <t xml:space="preserve">Gilroy-Madera is 96miles and the Authority claims its Run Time is 32minutes: an 188mph average. </t>
    </r>
  </si>
  <si>
    <t xml:space="preserve">                Santa Barbara-Los Angeles/                                95miles</t>
  </si>
  <si>
    <t>Redding-Los Angeles/                                      590miles</t>
  </si>
  <si>
    <r>
      <t xml:space="preserve">“$10 from Sacramento, Lodi and Elk Grove to Madera. . .” See DRAFT 2018 Business Plan: Technical Supporting Documents, p. 2-6  [PDF 26].  </t>
    </r>
    <r>
      <rPr>
        <b/>
        <sz val="6"/>
        <color theme="1"/>
        <rFont val="Calibri"/>
        <family val="2"/>
      </rPr>
      <t>Note: these fares are heavily subsidized, which is illegal according to AB3034.</t>
    </r>
  </si>
  <si>
    <r>
      <t>Los Angeles-San Jose</t>
    </r>
    <r>
      <rPr>
        <b/>
        <sz val="7"/>
        <rFont val="Calibri"/>
        <family val="2"/>
      </rPr>
      <t>/                           418miles</t>
    </r>
  </si>
  <si>
    <r>
      <t>San Francisco-Long Beach</t>
    </r>
    <r>
      <rPr>
        <b/>
        <sz val="7"/>
        <color indexed="8"/>
        <rFont val="Calibri"/>
        <family val="2"/>
      </rPr>
      <t>/                                491miles</t>
    </r>
  </si>
  <si>
    <r>
      <t>San Francisco-Anaheim</t>
    </r>
    <r>
      <rPr>
        <b/>
        <sz val="7"/>
        <color indexed="8"/>
        <rFont val="Calibri"/>
        <family val="2"/>
      </rPr>
      <t>/                                   493miles</t>
    </r>
  </si>
  <si>
    <t>Oakland-Anaheim/                                        503miles</t>
  </si>
  <si>
    <t>Oakland-Los Angeles/                                          476miles</t>
  </si>
  <si>
    <t>Oakland-Burbank (BUR)/                           470miles</t>
  </si>
  <si>
    <t xml:space="preserve">Note: During SV-CV Period (2029-2032) Sacramento is only served by an Authority-Dedicated Bus, originating or ending its connection in Madera, a 4hour (240minute) trip between the two cities. During SV-CV Period, the Authority Bus service is again the only connection; with a 3hour 20minute (200minutes) Run Time between Sacramento and Merced. </t>
  </si>
  <si>
    <t>0 of these 39 Non-adjacent region analyses showed the HSR train would be Total Travel Time competitive against Auto or Air's Total Travel Time (TTT) or Total Travel Cost (TTC) on round-trips during the SV-CV Period (2029-2032)</t>
  </si>
  <si>
    <t xml:space="preserve">n.b. there is no form of Authority service, either by HSR or dedicated bus to/from Palmdale during SV-CV Period.  Nor is Millbrae an HSR stop during SV-CV (2029-2032). Name of Origin and Destination and one-way HSR miles between the stations. Note that HSR miles are often longer than driving miles  </t>
  </si>
  <si>
    <t>Note: Although Dedicated Authority Buses serve Van Nuys, West LA, and Santa Anita during  SV-CV Period (2029-2032) this is the only instance of such service making analysis of these Orgins and Destinations an anamoly and leading the Authors to substitute OC Gateway and Anaheim - the post-2032 - destinations as being more realistic. Also,  Authority patrons on the two routes that are cheaper than driving (LA-Bakersfield and OC Gateway-Bakersfield) are not subsidized. The Authority dedicated bus over the Tehachapi range wil charge $13 and the Greyhound Bus on the route charges $12.  See: https://www.greyhound.com/en/ecommerce/schedule</t>
  </si>
  <si>
    <r>
      <t>San Diego-San Francisco</t>
    </r>
    <r>
      <rPr>
        <b/>
        <sz val="7"/>
        <rFont val="Calibri"/>
        <family val="2"/>
      </rPr>
      <t>/                                                            598miles</t>
    </r>
  </si>
  <si>
    <r>
      <t xml:space="preserve">San Diego-Gilroy/                                          </t>
    </r>
    <r>
      <rPr>
        <b/>
        <sz val="7"/>
        <color theme="1"/>
        <rFont val="Calibri"/>
        <family val="2"/>
      </rPr>
      <t>520miles</t>
    </r>
  </si>
  <si>
    <t>San Diego-Turlock/                   474miles</t>
  </si>
  <si>
    <t>Winners In This Set Of Origin-Destination Routes</t>
  </si>
  <si>
    <t>SV-CV Period: MTC    San Francisco-Gilroy/                                                               78miles</t>
  </si>
  <si>
    <t>San Francisco-San Jose/                                                        48miles</t>
  </si>
  <si>
    <t xml:space="preserve">Winners In This Set Of Origin-Destination Routes
</t>
  </si>
  <si>
    <t>Auto Wins</t>
  </si>
  <si>
    <t>HSR Wins</t>
  </si>
  <si>
    <t>Air Wins</t>
  </si>
  <si>
    <t>0=Blue =  Air is both TTT and TTC competitive with HSR</t>
  </si>
  <si>
    <r>
      <t>27=Green = Auto is more TTT competitive and</t>
    </r>
    <r>
      <rPr>
        <b/>
        <u/>
        <sz val="10"/>
        <color theme="1"/>
        <rFont val="Calibri (Body)_x0000_"/>
      </rPr>
      <t xml:space="preserve"> </t>
    </r>
    <r>
      <rPr>
        <b/>
        <sz val="10"/>
        <color theme="1"/>
        <rFont val="Calibri"/>
        <family val="2"/>
        <scheme val="minor"/>
      </rPr>
      <t>Total Travel Cost (TTC) competitive than HSR</t>
    </r>
  </si>
  <si>
    <t>0=Yellow = HSR is Total Travel Time (TTT) comptetive</t>
  </si>
  <si>
    <r>
      <t xml:space="preserve">11=Green = Auto is more  TTT competitive </t>
    </r>
    <r>
      <rPr>
        <b/>
        <u/>
        <sz val="8"/>
        <color theme="1"/>
        <rFont val="Calibri (Body)_x0000_"/>
      </rPr>
      <t xml:space="preserve">AND </t>
    </r>
    <r>
      <rPr>
        <b/>
        <sz val="8"/>
        <color theme="1"/>
        <rFont val="Calibri"/>
        <family val="2"/>
        <scheme val="minor"/>
      </rPr>
      <t>Total Travel Cost (TTC) competitive than HSR</t>
    </r>
  </si>
  <si>
    <t>30=Blue =  Air is both TTT and TTC competitive with HSR</t>
  </si>
  <si>
    <r>
      <t xml:space="preserve">9=Green = Auto is more TTT competitive </t>
    </r>
    <r>
      <rPr>
        <b/>
        <u/>
        <sz val="10"/>
        <color theme="1"/>
        <rFont val="Calibri (Body)_x0000_"/>
      </rPr>
      <t xml:space="preserve">and </t>
    </r>
    <r>
      <rPr>
        <b/>
        <sz val="10"/>
        <color theme="1"/>
        <rFont val="Calibri"/>
        <family val="2"/>
        <scheme val="minor"/>
      </rPr>
      <t>Total Travel Cost (TTC) competitive than HSR</t>
    </r>
  </si>
  <si>
    <t>Monterey-San Francisco/                                       169miles</t>
  </si>
  <si>
    <t>Monterey-Los Angeles/                                           492miles</t>
  </si>
  <si>
    <r>
      <t>Los Angeles-San Francisco</t>
    </r>
    <r>
      <rPr>
        <b/>
        <sz val="7"/>
        <rFont val="Calibri"/>
        <family val="2"/>
      </rPr>
      <t>/                               466miles</t>
    </r>
  </si>
  <si>
    <t>San Francisco-OC Gateway/                                 480miles</t>
  </si>
  <si>
    <t xml:space="preserve">Note: Unlike similar analyses for SV-CV Period, this SV-CV Period intra-region analysis does not include any notation for any origin or destination that includes San Diego (SANDAG).  Similarly, as there is no intra-LA Metro Area (SCAG) service offered by the Authority during SV-CV Period, therefore intra-SCAG analyses were not feasible to calculate. Correctly, the Authority did not claim ridership or revenue from intra-regional HSR patronage in either SANDAG or SCAG during SV-CV Period. See Table 5.3, pp. 5-5 and 5-6, [PDF 41-42] of the 2018 Business Plan's Ridership and Revenue Forecasting, Technical Supporting document. </t>
  </si>
  <si>
    <t>For 23¢/mile, see Table 6.2, p.6-9  [PDF 51] of CA High-Speed Rail 2018 Business Plan, Ridership and Revenue Forecasting: Technical Supporting Document</t>
  </si>
  <si>
    <t>SV-CV Period Run Times are from Table A.1.2 p. A-1 [PDF 61] of the 2018  Ridership and Revenue Forecasting, Technical Supporting Document. Merced-Bakersfield includes 40minutes of Bus Run Time and 15minutes of Transfer Times per Table 1.1</t>
  </si>
  <si>
    <t xml:space="preserve">This is fare-only comparison - not a Total Travel Cost comparison. While the costs of driving alone (auto) are less than Authority-offered fares, the auto driver's cost exceed that of Caltrain, Amtrak San Joaquin Valley and Metrolink passengers' fares, all of which operate with state/federal subsidies.  The Authority's fares are supposedly not reliant on operating subsidies to have the HSR system operationally profitable. If the round-trip costs of access+egress to a Caltrain, Amtrak and Metrolink stations were included – as the  other intra-regional analyses below show  – the Total Travel Costs of those public conveyances are higher than costs of driving alone. Note that only in the 166mile Merced-Bakersfield route is HSR's Total Travel Time shorter than driving. </t>
  </si>
  <si>
    <t>SV-CV Period:             Round-Trip Auto Total Travel Times  (minutes)</t>
  </si>
  <si>
    <t>SV-CV Period:          Round-Trip Total Travel Times + 15% upwards adjustment for traffic congestion</t>
  </si>
  <si>
    <t xml:space="preserve">SV-CV Period:                   One-Way HSR distances between city pair centers. Based partially on the work of Dr. Paul Jones (2015) point-to-point mileage. </t>
  </si>
  <si>
    <t>SV-CV Period:                  HSR One-Way Run Times (minutes)   n.b. there is NO intra-SCAG,  intra-SACOG,  or intra-SANDAG HSR service during the SV-CV Period period (2029-2032)</t>
  </si>
  <si>
    <t>SV-CV Period:                        Total Round-Trip HSR Times. Includes 142minutes (2*71) of access+egress times for the outward bound and return trips</t>
  </si>
  <si>
    <t xml:space="preserve">SV-CV Period:                  Based round-trip, Origin-Destination HSR Fares ($s) found at Table 2.2, p. 2-5 [PDF 25] of the 2018 Ridership and Revenue Forecasting Technical Supporting Document. </t>
  </si>
  <si>
    <r>
      <t xml:space="preserve">Caltrain fares found at: </t>
    </r>
    <r>
      <rPr>
        <sz val="6.5"/>
        <color rgb="FF0000FF"/>
        <rFont val="Calibri"/>
        <family val="2"/>
      </rPr>
      <t>http://www.caltrain.com/Fares/farechart.html</t>
    </r>
    <r>
      <rPr>
        <sz val="6.5"/>
        <color theme="1"/>
        <rFont val="Calibri"/>
        <family val="2"/>
      </rPr>
      <t>.  Amtrak fares are found at:</t>
    </r>
    <r>
      <rPr>
        <sz val="6.5"/>
        <color rgb="FF0000FF"/>
        <rFont val="Calibri"/>
        <family val="2"/>
      </rPr>
      <t xml:space="preserve"> https://tickets.amtrak.com/itd/amtrak </t>
    </r>
  </si>
  <si>
    <t xml:space="preserve">See: Independent Determination That the Travel Time Requirements of PROP 1A/AB3034 Cannot Be Met, Paul S. Jones; March 13, 2015. 
</t>
  </si>
  <si>
    <t>Amtrak San Joaquin service is discontinued in 2029. Note the Madera-Merced link is made by Authority Dedicated bus during 2029-2032. Both HSR and Dedicated bus Run Times are from the 2018 Ridership and Revenue Forecasting Technical Supporting Document Appendix A, Table A.1.1 and Table A.1.2, p. A-1 [PDF 61].  15minutes of Transfer Time is added to a one-way trip for Madera-Merced.</t>
  </si>
  <si>
    <t>SV-CV Period                     One-waydistances in driving miles from the LA Basin (SCAG) Origin to designated Destination in the San Joaquin Valley (SJV)</t>
  </si>
  <si>
    <t>SV-CV Period:          Round-Trip Auto Total Travel Times</t>
  </si>
  <si>
    <t>SV-CV Period:          Round-Trip  Auto Total Travel Times + 15% upwards adjustment for traffic congestion</t>
  </si>
  <si>
    <t>SV-CV Period:                  Cost of Driving Alone Round-Trip @ 23¢/mile, the Authority's metric for fully-loaded Auto costs</t>
  </si>
  <si>
    <t>SV-CV Period:            Walt times at LAUS or designated pick-up cities for Dedicated Bus to cross theTechachapis from the LA Basin (minutes) - not counted in access+egress times</t>
  </si>
  <si>
    <t>SV-CV Period:             Run Times of Authority's Dedicated Bus linking LA and Bakersfield across the Tehachapis (minutes)</t>
  </si>
  <si>
    <t>SV-CV Period:           Wait Time in Bakersfield after the Techachapi crossing to board northbound HSR (minutes)</t>
  </si>
  <si>
    <t>SV-CV Period: Wait Time and transfer time at end of HSR travel (minutes) for further transport</t>
  </si>
  <si>
    <t>SV-CV Period: Run Time by Authority Dedicated Bus or BART after HSR travel</t>
  </si>
  <si>
    <t>Metrolink fare OC Gateway (Norwalk)-LAUS fare is $6.50. LAUS-Anaheim is $8.75</t>
  </si>
  <si>
    <t xml:space="preserve">Note: These fares are based on LAX being either the traveler's Origin or Destination, although they may not be the closest commercial Airport.  Particularly in the case of travel to/from smaller cities in the San Joaquin Valley, little served commercial airports' fares are extraordinarly high due to low passenger volume. </t>
  </si>
  <si>
    <t xml:space="preserve">One-way flight times-data between nearest commercial airports, in minutes.  </t>
  </si>
  <si>
    <r>
      <t xml:space="preserve">See Web site Folders of Commerical Air Services at: </t>
    </r>
    <r>
      <rPr>
        <sz val="6"/>
        <color rgb="FF0000FF"/>
        <rFont val="Calibri"/>
        <family val="2"/>
      </rPr>
      <t xml:space="preserve">https://sites.google.com/site/hsrcaliffr/home/2-1-major-reports---2018-plan/09-2018-if-you-build-it-they-will-not-come---the-sequel </t>
    </r>
  </si>
  <si>
    <t>Minutes gained traveling round-trip Door-to-Door using Air + (2*45minutes for security) versus HSR's Total Travel Time</t>
  </si>
  <si>
    <t>Round Trip  Air Total Travel Time = ( 2*flight times) + (2*71 minutes) of access+egress times + (2*45minutes) of extra time above that of HSR wait time for airport security</t>
  </si>
  <si>
    <t>Remote Access Costs, round trip, for 'remote' passengers traveling to/from an airport in a distant city. For distances of less than 50 miles,  $15 was added. For distances greater than 50 miles, $30 was added.</t>
  </si>
  <si>
    <t>Note: there is no form of Authority service, either by HSR or dedicated bus to/from Palmdale during the SV-CV Period period (2029-2033) although there is from 2033 onwards.  Also note: Although Dedicated Authority Buses serve Van Nuys, West LA, and Santa Anita during  SV-CV Period (2029-2033) this is the only instance of such service, making analysis of these Orgins and Destinations an anomaly; therefore leading the Authors to substitute OC Gateway and Anaheim - the 2033 and aftewards destinations as being more realistic. Also,  Authority patrons on the two routes that are cheaper than driving (LA-Bakersfield and OC Gateway-Bakersfield) are not subsidized. The Authority dedicated bus over the Tehachapi range wil charge $13 and the Greyhound Bus on the route charges $12.  See: https://www.greyhound.com/en/ecommerce/schedule</t>
  </si>
  <si>
    <t>SV-CV Period: Round trip airfares and $23 of Round Trip access+egress costs + remote access costs if applicable</t>
  </si>
  <si>
    <t>SV-CV Period: Per person cost of inter-regional round-trip by HSR Authority transport (+ supplemental) public transit</t>
  </si>
  <si>
    <t>Although the Authority's Figure 2.1 map of IOS destinations destinations during SV-CV Period shows a stop at Kings Tulare [[PDF 25], Figure A.2.2 [PDF 62] shows Visalia as an HSR destination. See p. 2-2 [PDF 22] of the 2018 Businness Plan, Ridership and Revenue Forecasting, Technical Supporting Document</t>
  </si>
  <si>
    <t xml:space="preserve">Although the 2018 Ridership and Revenue Forecasting document says HSR trains will coordinate with Metrolink, that regional rail carrier has no plans to electrify its LAUS-Anaheim corridor. Therefore travel to/from OC Gateway and Anaheim require at least a 15minute Transfer Time. See A.1.1, p A-1, [PDF 61] for Transfer Times 
</t>
  </si>
  <si>
    <t xml:space="preserve">See the 2018 Ridership and Revenue Forecasting Technical Supporting Document,  A.1.1, p A-1, [PDF 61] for Run Times 
</t>
  </si>
  <si>
    <t xml:space="preserve">Per occupant Auto costs based on 110% of 23¢/mile (25¢/mile). For the Authority-set 23¢/mile, see Table 3.3, p.3-4  [PDF 32] of the  High-Speed Rail 2018 Business Plan, Ridership and Revenue Forecasting: Technical Supporting Document (June 2018)
</t>
  </si>
  <si>
    <t>HSR fares are based on formulas found on p. 2-5 [PDF 25] of 2018 Business Plan Ridership and Revenue Forecasts, Technical Supporting Document (June 2018)</t>
  </si>
  <si>
    <t>Note: there is no form of Authority service, either by HSR or dedicated bus to/from Palmdale during the SV-CV Period period (2029-2032).  Name of Origin and Destination and one-way HSR miles between the stations. Note that HSR miles are often longer than driving miles.  See Figure 2.1, p. 2-2  [PDF 22] of the 2018 Businness Plan, Ridership and Revenue Forecasting, Technical Supporting Document</t>
  </si>
  <si>
    <t>One-way distances for travelers using HSR and or Authority buses – starting from the Los Angeles area (SCAG) during SV-CV Period - because the LA metro area is the largest in CA and because the Authority claims revenue derived from HSR operations to/from SJV, although the only link is a 2hour 12minute up to a 2hour 40minute Authority bus ride over the Tehachapi Mountains</t>
  </si>
  <si>
    <r>
      <rPr>
        <i/>
        <sz val="6.5"/>
        <color indexed="8"/>
        <rFont val="Calibri (Body)_x0000_"/>
      </rPr>
      <t>"Unlike common carrier transportation modes (air, bus, or rail), the automobile does not require or depend on intermodal connections to get from the trip origin to the trip destination."</t>
    </r>
    <r>
      <rPr>
        <sz val="6.5"/>
        <color indexed="8"/>
        <rFont val="Calibri (Body)_x0000_"/>
      </rPr>
      <t xml:space="preserve"> See p. 3.2-25 [PDF 252] of Bay Area to Central Valley Final Program EIR/EIS, May 2008.  All driving distances and driving times are from OC Gateway (Norwalk), or Anaheim Amtrak station or the Burbank Airport (BUR) to the Amtrak station of each destination, except for Palmdale which starts/ends at City Hall since there is no Amtrak station. Distances and driving times found at: </t>
    </r>
    <r>
      <rPr>
        <sz val="6.5"/>
        <color rgb="FF002060"/>
        <rFont val="Calibri (Body)_x0000_"/>
      </rPr>
      <t xml:space="preserve">https://www.google.com/maps/  </t>
    </r>
  </si>
  <si>
    <r>
      <t xml:space="preserve">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 Americans lose 0%-30% of their daily commute on road traffic delays. See: </t>
    </r>
    <r>
      <rPr>
        <sz val="6"/>
        <color rgb="FF0000FF"/>
        <rFont val="Calibri (Body)_x0000_"/>
      </rPr>
      <t xml:space="preserve">http://abcnews.go.com/US/time-americans-waste-traffic/story?id=33313765 </t>
    </r>
  </si>
  <si>
    <t>See: A.1.3,  p. A-1 [PDF 61] of 2018 Ridership and Revenue Forecasting, Technical Supporting Document. High-Speed Rail Patterns</t>
  </si>
  <si>
    <t>SV-CV Period:             HSR's fastest Run times (minutes) between Bakersfield and Madera - the northern terminus of HSR until 2033</t>
  </si>
  <si>
    <t>SV-CV Period: Transfer Time at end of HSR travel (minutes) for further transport on Authority-Dedicated Bus</t>
  </si>
  <si>
    <t>SV-CV Period: Run Time by Authority Dedicated Bus after HSR travel</t>
  </si>
  <si>
    <r>
      <t>See: A.1.3 p. A-1 [PDF 61] of 2018 Ridership and Revenue Forecasting, Technical Supporting Document that says</t>
    </r>
    <r>
      <rPr>
        <i/>
        <sz val="6.5"/>
        <color theme="1"/>
        <rFont val="Calibri (Body)_x0000_"/>
      </rPr>
      <t xml:space="preserve"> "Transfer time at Bakersfield 15minutes" </t>
    </r>
  </si>
  <si>
    <r>
      <t xml:space="preserve">See p. 2-4 [PDF </t>
    </r>
    <r>
      <rPr>
        <sz val="6.5"/>
        <color theme="1"/>
        <rFont val="Calibri (Body)_x0000_"/>
      </rPr>
      <t xml:space="preserve">26] of the Ridership and Revenue Forecasting, Technical Supporting Document (June 2018) that says, </t>
    </r>
    <r>
      <rPr>
        <i/>
        <sz val="6.5"/>
        <color theme="1"/>
        <rFont val="Calibri (Body)_x0000_"/>
      </rPr>
      <t>"$13 from Bakersfield to Southern California locations"</t>
    </r>
  </si>
  <si>
    <r>
      <rPr>
        <b/>
        <sz val="6.5"/>
        <color theme="1"/>
        <rFont val="Calibri"/>
        <family val="2"/>
        <scheme val="minor"/>
      </rPr>
      <t xml:space="preserve">Note: </t>
    </r>
    <r>
      <rPr>
        <sz val="6.5"/>
        <color theme="1"/>
        <rFont val="Calibri"/>
        <family val="2"/>
        <scheme val="minor"/>
      </rPr>
      <t>The $1.00 Authority Bus fares are subsidized: by contrast the Greyhound Sacramento-Merced farecost $12, not the Authority's $1.00.  See:</t>
    </r>
    <r>
      <rPr>
        <sz val="6.5"/>
        <color rgb="FF0000FF"/>
        <rFont val="Calibri (Body)_x0000_"/>
      </rPr>
      <t xml:space="preserve"> https://www.greyhound.com/en/ecommerce/schedule</t>
    </r>
    <r>
      <rPr>
        <sz val="6.5"/>
        <color rgb="FF0000FF"/>
        <rFont val="Calibri"/>
        <family val="2"/>
        <scheme val="minor"/>
      </rPr>
      <t xml:space="preserve"> </t>
    </r>
    <r>
      <rPr>
        <sz val="6.5"/>
        <color theme="1"/>
        <rFont val="Calibri"/>
        <family val="2"/>
        <scheme val="minor"/>
      </rPr>
      <t xml:space="preserve">				</t>
    </r>
  </si>
  <si>
    <t>Since the Dr. Paul Jones (2015) did not analyze Origins and Distances north of Madera, we chose to use Google Maps and Driving Distances, which makes Auto and HSR milage equal on those portions, although in most other cases, HSR mileage is longer.</t>
  </si>
  <si>
    <t>Los Angeles-Stockton/                                              392miles</t>
  </si>
  <si>
    <r>
      <rPr>
        <sz val="7"/>
        <color theme="1"/>
        <rFont val="Calibri"/>
        <family val="2"/>
        <scheme val="minor"/>
      </rPr>
      <t xml:space="preserve">The analyses of 11 Origins/Destination in the San Joaquin Valley, which includes Sacramento County, are those the Authority’s HSR trains or dedicated buses will serve from 2029-2040 - and where the Authority claims riders and revenues will come from.  They are also places where the Authority will displace Amtrak's San Joaquin </t>
    </r>
    <r>
      <rPr>
        <sz val="7"/>
        <color theme="1"/>
        <rFont val="Calibri (Body)_x0000_"/>
      </rPr>
      <t xml:space="preserve">subsidized </t>
    </r>
    <r>
      <rPr>
        <sz val="7"/>
        <color theme="1"/>
        <rFont val="Calibri"/>
        <family val="2"/>
        <scheme val="minor"/>
      </rPr>
      <t xml:space="preserve">rail service in 2029, </t>
    </r>
    <r>
      <rPr>
        <sz val="7"/>
        <color theme="1"/>
        <rFont val="Calibri (Body)_x0000_"/>
      </rPr>
      <t>therefore important to understand</t>
    </r>
    <r>
      <rPr>
        <sz val="7"/>
        <color theme="1"/>
        <rFont val="Calibri"/>
        <family val="2"/>
        <scheme val="minor"/>
      </rPr>
      <t>. Nineteen Counties (or parts of several) define the San Joaquin Valley: Butte, Colusa, Glenn, El Dorado, Fresno, Kings, Madera, Merced, Placer, San Joaquin, Sacramento, Shasta, Solano, Stanislaus, Sutter, Tehama, Tulare, Yuba, Yolo, and the Southern California county of Kern. See:</t>
    </r>
    <r>
      <rPr>
        <sz val="7"/>
        <color theme="1"/>
        <rFont val="Calibri (Body)_x0000_"/>
      </rPr>
      <t xml:space="preserve"> </t>
    </r>
    <r>
      <rPr>
        <sz val="7"/>
        <color rgb="FF0000FF"/>
        <rFont val="Calibri (Body)_x0000_"/>
      </rPr>
      <t xml:space="preserve">https://en.wikipedia.org/wiki/San_Joaquin_Valley </t>
    </r>
  </si>
  <si>
    <r>
      <t>Based on miles used in</t>
    </r>
    <r>
      <rPr>
        <u/>
        <sz val="6"/>
        <color theme="1"/>
        <rFont val="Verdana"/>
        <family val="2"/>
      </rPr>
      <t xml:space="preserve"> </t>
    </r>
    <r>
      <rPr>
        <sz val="6"/>
        <color theme="1"/>
        <rFont val="Verdana"/>
        <family val="2"/>
      </rPr>
      <t>Independent Determination That the Travel Time Requirements of PROP 1A/AB3034 Cannot Be Met, Paul S. Jones; March 13, 2015.  For  Bakersfield-Madera the authors added 33 driving miles for Fresno-Madera since Dr. Jones' work only went north to Fresno.</t>
    </r>
  </si>
  <si>
    <r>
      <rPr>
        <i/>
        <sz val="7"/>
        <color theme="1"/>
        <rFont val="Calibri"/>
        <family val="2"/>
      </rPr>
      <t>“$13  from Bakersfield to Southern California locations. . .”</t>
    </r>
    <r>
      <rPr>
        <sz val="7"/>
        <color theme="1"/>
        <rFont val="Calibri"/>
        <family val="2"/>
      </rPr>
      <t xml:space="preserve"> See: 2018 Business Plan: Technical Supporting Documents, p. 2-6, [PDF 26]</t>
    </r>
  </si>
  <si>
    <r>
      <rPr>
        <sz val="7"/>
        <color theme="1"/>
        <rFont val="Calibri"/>
        <family val="2"/>
      </rPr>
      <t xml:space="preserve">"Unlike common carrier transportation modes (air, bus, or rail), the automobile does not require or depend on intermodal connections to get from the trip origin to the trip destination." See p. 3.2-25 [PDF 252] of Bay Area to Central Valley Final Program EIR/EIS, May 2008. All driving distances and driving times are from Los Angeles Union Station - LAUS (800 North Alameda St. LA) or Anaheim Regional Transport Center or from OC Gateway (Norwalk) or Anaheim to the Amtrak station of each destination. Distances and driving times found at: </t>
    </r>
    <r>
      <rPr>
        <sz val="7"/>
        <color rgb="FF0000FF"/>
        <rFont val="Calibri"/>
        <family val="2"/>
      </rPr>
      <t>https://www.google.com/maps/.  _x000B_</t>
    </r>
  </si>
  <si>
    <r>
      <rPr>
        <i/>
        <sz val="6"/>
        <color theme="1"/>
        <rFont val="Calibri (Body)_x0000_"/>
      </rPr>
      <t xml:space="preserve">“With the exception of the automobile, intercity transportation options require multiple modes to complete a trip.” </t>
    </r>
    <r>
      <rPr>
        <sz val="6"/>
        <color theme="1"/>
        <rFont val="Calibri (Body)_x0000_"/>
      </rPr>
      <t>See: Volume 1 Bay Area to Central Valley HST Final Program EIR/EIS of 2008 [PDF 224] at</t>
    </r>
    <r>
      <rPr>
        <i/>
        <sz val="6"/>
        <color theme="1"/>
        <rFont val="Calibri (Body)_x0000_"/>
      </rPr>
      <t>:</t>
    </r>
    <r>
      <rPr>
        <i/>
        <sz val="6"/>
        <color rgb="FF0000FF"/>
        <rFont val="Calibri (Body)_x0000_"/>
      </rPr>
      <t xml:space="preserve"> http://www.hsr.ca.gov/Programs/Environmental_Planning/bay_area_2008.html</t>
    </r>
    <r>
      <rPr>
        <i/>
        <sz val="6"/>
        <color theme="1"/>
        <rFont val="Calibri (Body)_x0000_"/>
      </rPr>
      <t xml:space="preserve">. </t>
    </r>
    <r>
      <rPr>
        <sz val="6"/>
        <color theme="1"/>
        <rFont val="Calibri (Body)_x0000_"/>
      </rPr>
      <t>Also see: p. 3.2-25 [PDF 250] of that document. Only Auto travel does not require a modal change; therefore no</t>
    </r>
    <r>
      <rPr>
        <sz val="6"/>
        <color rgb="FF000080"/>
        <rFont val="Calibri"/>
        <family val="2"/>
        <scheme val="minor"/>
      </rPr>
      <t xml:space="preserve"> </t>
    </r>
    <r>
      <rPr>
        <sz val="6"/>
        <color theme="1"/>
        <rFont val="Calibri (Body)_x0000_"/>
      </rPr>
      <t>access or egress times need be added to compute auto travel time.</t>
    </r>
  </si>
  <si>
    <r>
      <t>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 Americans lose 0%-30% of their daily commute on road traffic delays. See:</t>
    </r>
    <r>
      <rPr>
        <sz val="6"/>
        <color rgb="FF0000FF"/>
        <rFont val="Calibri"/>
        <family val="2"/>
      </rPr>
      <t xml:space="preserve"> http://abcnews.go.com/US/time-americans-waste-traffic/story?id=33313765 </t>
    </r>
    <r>
      <rPr>
        <sz val="6"/>
        <color theme="1"/>
        <rFont val="Calibri"/>
        <family val="2"/>
      </rPr>
      <t xml:space="preserve">
</t>
    </r>
  </si>
  <si>
    <r>
      <rPr>
        <sz val="6"/>
        <color theme="1"/>
        <rFont val="Calibri"/>
        <family val="2"/>
      </rPr>
      <t>Fight advance purchases found at:</t>
    </r>
    <r>
      <rPr>
        <sz val="6"/>
        <color indexed="18"/>
        <rFont val="Calibri"/>
        <family val="2"/>
      </rPr>
      <t xml:space="preserve"> </t>
    </r>
    <r>
      <rPr>
        <sz val="6"/>
        <color indexed="12"/>
        <rFont val="Calibri"/>
        <family val="2"/>
      </rPr>
      <t>https://www.kayak.com/flights/</t>
    </r>
    <r>
      <rPr>
        <sz val="6"/>
        <color indexed="18"/>
        <rFont val="Calibri"/>
        <family val="2"/>
      </rPr>
      <t>. See Screen Shots to/from folder</t>
    </r>
  </si>
  <si>
    <r>
      <rPr>
        <sz val="6"/>
        <color theme="1"/>
        <rFont val="Calibri"/>
        <family val="2"/>
      </rPr>
      <t>See Web site Folders of Commerical Air Services at:</t>
    </r>
    <r>
      <rPr>
        <sz val="6"/>
        <color indexed="18"/>
        <rFont val="Calibri"/>
        <family val="2"/>
      </rPr>
      <t xml:space="preserve"> </t>
    </r>
    <r>
      <rPr>
        <sz val="6"/>
        <color rgb="FF0000FF"/>
        <rFont val="Calibri"/>
        <family val="2"/>
      </rPr>
      <t xml:space="preserve">https://sites.google.com/site/hsrcaliffr/home/2-1-major-reports---2018-plan/09-2018-if-you-build-it-they-will-not-come---the-sequel </t>
    </r>
  </si>
  <si>
    <r>
      <rPr>
        <i/>
        <sz val="7"/>
        <color theme="1"/>
        <rFont val="Calibri"/>
        <family val="2"/>
      </rPr>
      <t xml:space="preserve">"Unlike common carrier transportation modes (air, bus, or rail), the automobile does not require or depend on intermodal connections to get from the trip origin to the trip destination." </t>
    </r>
    <r>
      <rPr>
        <sz val="7"/>
        <color theme="1"/>
        <rFont val="Calibri"/>
        <family val="2"/>
      </rPr>
      <t>See p. 3.2-25 [PDF 252] of Bay Area to Central Valley Final Program EIR/EIS, May, 2008. Driving distances and times are measured from Gilroy's Amtrak station, the San Francisco TransBay Terminal (101 First St. SF) or</t>
    </r>
    <r>
      <rPr>
        <sz val="7"/>
        <color indexed="18"/>
        <rFont val="Calibri"/>
        <family val="2"/>
      </rPr>
      <t xml:space="preserve"> </t>
    </r>
    <r>
      <rPr>
        <sz val="7"/>
        <color theme="1"/>
        <rFont val="Calibri"/>
        <family val="2"/>
      </rPr>
      <t>Millbrae's Caltrain/BART station to San Joaquin Valley destinaton cities' Amtrak stations.  All found at</t>
    </r>
    <r>
      <rPr>
        <sz val="7"/>
        <color rgb="FF0000FF"/>
        <rFont val="Calibri"/>
        <family val="2"/>
      </rPr>
      <t>: https://www.google.com/maps/</t>
    </r>
  </si>
  <si>
    <r>
      <t xml:space="preserve"> </t>
    </r>
    <r>
      <rPr>
        <i/>
        <sz val="6"/>
        <color indexed="8"/>
        <rFont val="Calibri (Body)_x0000_"/>
      </rPr>
      <t xml:space="preserve">“With the exception of the automobile, intercity transportation options require multiple modes to complete a trip.” </t>
    </r>
    <r>
      <rPr>
        <sz val="6"/>
        <color indexed="8"/>
        <rFont val="Calibri (Body)_x0000_"/>
      </rPr>
      <t>See: Volume 1 Bay Area to Central Valley HST Final Program EIR/EIS of 2008 [PDF 224] at:</t>
    </r>
    <r>
      <rPr>
        <sz val="6"/>
        <color rgb="FF0000FF"/>
        <rFont val="Calibri (Body)_x0000_"/>
      </rPr>
      <t xml:space="preserve"> http://www.hsr.ca.gov/Programs/Environmental_Planning/bay_area_2008.html</t>
    </r>
    <r>
      <rPr>
        <sz val="6"/>
        <color indexed="8"/>
        <rFont val="Calibri (Body)_x0000_"/>
      </rPr>
      <t>.  Also see  p. 3.2-25 [PDF 250] of that document.  Only Auto travel does not require a modal change; therefore no access or egress times need be added to compute Auto's Total Travel Time.</t>
    </r>
  </si>
  <si>
    <r>
      <rPr>
        <i/>
        <sz val="6"/>
        <color theme="1"/>
        <rFont val="Calibri"/>
        <family val="2"/>
      </rPr>
      <t>With the exception of the automobile, intercity transportation options require multiple modes to complete a trip.”</t>
    </r>
    <r>
      <rPr>
        <sz val="6"/>
        <color indexed="18"/>
        <rFont val="Calibri"/>
        <family val="2"/>
      </rPr>
      <t xml:space="preserve"> _x000B_See: Volume 1 Bay Area to Central Valley HST Final Program EIR/EIS of 2008 [PDF 224] at:</t>
    </r>
    <r>
      <rPr>
        <sz val="6"/>
        <color indexed="12"/>
        <rFont val="Calibri"/>
        <family val="2"/>
      </rPr>
      <t xml:space="preserve"> http://www.hsr.ca.gov/Programs/Environmental_Planning/bay_area_2008.html.</t>
    </r>
    <r>
      <rPr>
        <sz val="6"/>
        <color indexed="18"/>
        <rFont val="Calibri"/>
        <family val="2"/>
      </rPr>
      <t xml:space="preserve">  </t>
    </r>
    <r>
      <rPr>
        <sz val="6"/>
        <color theme="1"/>
        <rFont val="Calibri"/>
        <family val="2"/>
      </rPr>
      <t>Also see  p. 3.2-25 [PDF 250] of that document.  Only Auto travel does not require a modal change; therefore no access or egress times need be added to compute auto travel time.</t>
    </r>
  </si>
  <si>
    <r>
      <rPr>
        <sz val="6"/>
        <color theme="1"/>
        <rFont val="Calibri"/>
        <family val="2"/>
      </rPr>
      <t>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 Americans lose 0%-30% of their daily commute on road traffic</t>
    </r>
    <r>
      <rPr>
        <sz val="6"/>
        <color indexed="18"/>
        <rFont val="Calibri"/>
        <family val="2"/>
      </rPr>
      <t xml:space="preserve"> </t>
    </r>
    <r>
      <rPr>
        <sz val="6"/>
        <color theme="1"/>
        <rFont val="Calibri"/>
        <family val="2"/>
      </rPr>
      <t>delays. See:</t>
    </r>
    <r>
      <rPr>
        <sz val="6"/>
        <color indexed="18"/>
        <rFont val="Calibri"/>
        <family val="2"/>
      </rPr>
      <t xml:space="preserve"> </t>
    </r>
    <r>
      <rPr>
        <sz val="6"/>
        <color rgb="FF0000FF"/>
        <rFont val="Calibri"/>
        <family val="2"/>
      </rPr>
      <t xml:space="preserve">http://abcnews.go.com/US/time-americans-waste-traffic/story?id=33313765 </t>
    </r>
    <r>
      <rPr>
        <sz val="6"/>
        <color indexed="18"/>
        <rFont val="Calibri"/>
        <family val="2"/>
      </rPr>
      <t xml:space="preserve">
</t>
    </r>
  </si>
  <si>
    <t xml:space="preserve">Based on miles used in Independent Determination That the Travel Time Requirements of PROP 1A/AB3034 Cannot Be Met, Paul S. Jones; March 13, 2015. SF-Fresno is 199miles. </t>
  </si>
  <si>
    <r>
      <rPr>
        <i/>
        <sz val="6"/>
        <color theme="1"/>
        <rFont val="Calibri"/>
        <family val="2"/>
      </rPr>
      <t>With the exception of the automobile, intercity transportation options require multiple modes to complete a trip.”</t>
    </r>
    <r>
      <rPr>
        <sz val="6"/>
        <color indexed="18"/>
        <rFont val="Calibri"/>
        <family val="2"/>
      </rPr>
      <t xml:space="preserve"> _x000B_</t>
    </r>
    <r>
      <rPr>
        <sz val="6"/>
        <color theme="1"/>
        <rFont val="Calibri"/>
        <family val="2"/>
      </rPr>
      <t>See: Volume 1 Bay Area to Central Valley HST Final Program EIR/EIS of 2008 [PDF 224] at:</t>
    </r>
    <r>
      <rPr>
        <sz val="6"/>
        <color indexed="12"/>
        <rFont val="Calibri"/>
        <family val="2"/>
      </rPr>
      <t xml:space="preserve"> </t>
    </r>
    <r>
      <rPr>
        <sz val="6"/>
        <color rgb="FF0000FF"/>
        <rFont val="Calibri"/>
        <family val="2"/>
      </rPr>
      <t>http://www.hsr.ca.gov/Programs/Environmental_Planning/bay_area_2008.html</t>
    </r>
    <r>
      <rPr>
        <sz val="6"/>
        <color indexed="12"/>
        <rFont val="Calibri"/>
        <family val="2"/>
      </rPr>
      <t>.</t>
    </r>
    <r>
      <rPr>
        <sz val="6"/>
        <color indexed="18"/>
        <rFont val="Calibri"/>
        <family val="2"/>
      </rPr>
      <t xml:space="preserve">  </t>
    </r>
    <r>
      <rPr>
        <sz val="6"/>
        <color theme="1"/>
        <rFont val="Calibri"/>
        <family val="2"/>
      </rPr>
      <t>Also see  p. 3.2-25 [PDF 250] of that document.  Only Auto travel does not require a modal change; therefore no access or egress times need be added to compute auto travel time.</t>
    </r>
  </si>
  <si>
    <r>
      <t xml:space="preserve">See: A.1.1 p. A-1 [PDF 61] of 2018 Ridership and Revenue Forecasting, Technical Supporting Document that says </t>
    </r>
    <r>
      <rPr>
        <i/>
        <sz val="6"/>
        <color theme="1"/>
        <rFont val="Calibri"/>
        <family val="2"/>
      </rPr>
      <t xml:space="preserve">"HSR-Bus Transfer Time  15" </t>
    </r>
    <r>
      <rPr>
        <sz val="6"/>
        <color theme="1"/>
        <rFont val="Calibri"/>
        <family val="2"/>
      </rPr>
      <t xml:space="preserve">
</t>
    </r>
  </si>
  <si>
    <r>
      <rPr>
        <sz val="6.5"/>
        <color theme="1"/>
        <rFont val="Calibri"/>
        <family val="2"/>
      </rPr>
      <t>Fight advance purchases found at:</t>
    </r>
    <r>
      <rPr>
        <sz val="6.5"/>
        <color indexed="18"/>
        <rFont val="Calibri"/>
        <family val="2"/>
      </rPr>
      <t xml:space="preserve"> </t>
    </r>
    <r>
      <rPr>
        <sz val="6.5"/>
        <color indexed="12"/>
        <rFont val="Calibri"/>
        <family val="2"/>
      </rPr>
      <t>https://www.kayak.com/flights/</t>
    </r>
    <r>
      <rPr>
        <sz val="6.5"/>
        <color indexed="18"/>
        <rFont val="Calibri"/>
        <family val="2"/>
      </rPr>
      <t>. See Screen Shots to/from folder</t>
    </r>
  </si>
  <si>
    <t>One-Way distances for travelers using HSR and or Authority buses – starting  from the San Francisco Peninsula - MTC’s SF, San Mateo and Santa Clara counties – total population is 3.5million - because the San Jose is CA’s third largest city, San Francisco is CA’s 4th largest, and SF is CA's second most densely populated. Millbrae and Gilroy also served by HSR and are part of the three Peninsula counties. Also analyzed because the Authority claims revenue derived from HSR operating  to/from SJV during SV-CV Period</t>
  </si>
  <si>
    <r>
      <t xml:space="preserve">See: A.1.2 p. A-1 [PDF 61] of 2018 Ridership and Revenue Forecasting, Technical Supporting Document. High-Speed Rail Patterns. </t>
    </r>
    <r>
      <rPr>
        <b/>
        <sz val="6"/>
        <color theme="1"/>
        <rFont val="Calibri"/>
        <family val="2"/>
      </rPr>
      <t xml:space="preserve">Note: </t>
    </r>
    <r>
      <rPr>
        <sz val="6"/>
        <color theme="1"/>
        <rFont val="Calibri"/>
        <family val="2"/>
      </rPr>
      <t>The Authority claims SFTBT-San Jose Run time at 44minutes, which is 22minutes quicker than Caltrain's Baby Bullet's 62minutes which makes 4 stops. If each Caltrain stop was 3minutes (total 12minutes) there is a 10minute credibility gap as HSR will not be able to run faster than Caltrain as HSR infrastructure is not proposed.</t>
    </r>
  </si>
  <si>
    <r>
      <t>Based on Table A.1.1 p. A-1 [PDF 61] of the 2018 Business Plan, Ridership and Revenue Forecasting, Technical Supporting Document, which says,"</t>
    </r>
    <r>
      <rPr>
        <i/>
        <sz val="6"/>
        <color theme="1"/>
        <rFont val="Calibri"/>
        <family val="2"/>
      </rPr>
      <t>HSR Bus Transfer Time   15"</t>
    </r>
  </si>
  <si>
    <r>
      <t>Based on miles used in</t>
    </r>
    <r>
      <rPr>
        <u/>
        <sz val="6"/>
        <color theme="1"/>
        <rFont val="Calibri"/>
        <family val="2"/>
        <scheme val="minor"/>
      </rPr>
      <t xml:space="preserve"> </t>
    </r>
    <r>
      <rPr>
        <sz val="6"/>
        <color theme="1"/>
        <rFont val="Calibri (Body)_x0000_"/>
      </rPr>
      <t>Independent Determination That the Travel Time Requirements of PROP 1A/AB3034 Cannot Be Met</t>
    </r>
    <r>
      <rPr>
        <sz val="6"/>
        <color theme="1"/>
        <rFont val="Calibri"/>
        <family val="2"/>
        <scheme val="minor"/>
      </rPr>
      <t>, Paul S. Jones; March 13, 2015. SF-Fresno is 199mile. Fresno-Merced is 59 driving miles. Merced-Sacramento 115 driving miles. Total SF-Merced = 258 HSR miles.  Total SF-Sacramento = 314 HSR miles</t>
    </r>
  </si>
  <si>
    <r>
      <rPr>
        <sz val="6"/>
        <color theme="1"/>
        <rFont val="Calibri"/>
        <family val="2"/>
      </rPr>
      <t xml:space="preserve">See p. 2-6 [PDF 26] of 2018 Business Plan, Ridership and Revenue Forecasting, Technical Supporting Document that says </t>
    </r>
    <r>
      <rPr>
        <i/>
        <sz val="6"/>
        <color theme="1"/>
        <rFont val="Calibri"/>
        <family val="2"/>
      </rPr>
      <t>"$1 from Stockton/Modesto/Denair/Merced/Madera/Fresno Amtrak to Madera." "Note: The $1.00 Authority Bus fares are subsidized: by contrast the Greyhound Sacramento-Merced farecost $12, not the Authority's $1.00.  See:</t>
    </r>
    <r>
      <rPr>
        <i/>
        <sz val="6"/>
        <color rgb="FF0000FF"/>
        <rFont val="Calibri"/>
        <family val="2"/>
      </rPr>
      <t xml:space="preserve"> https://www.greyhound.com/en/ecommerce/schedule 	</t>
    </r>
    <r>
      <rPr>
        <i/>
        <sz val="6"/>
        <color theme="1"/>
        <rFont val="Calibri"/>
        <family val="2"/>
      </rPr>
      <t xml:space="preserve">			"
</t>
    </r>
  </si>
  <si>
    <t>Note: there is no Authority service to/from Millbrae during SV-CV Period (2029-2033).  Name of Origin and Destination and one-way HSR miles between the stations. Note that HSR miles are often longer than driving miles.  Although the Authority's map of destinations during 2029-2032 shows Van Nuys, W. LA and Santa Anita, these are anomalies as they only occur for 4 years, so we chose to analyze the LA Metro area origins/destinations that are sustained from 2033 onwards. See Figure 2.1, p. 2-2  [PDF 22] of the 2018 Business Plan, Ridership and Revenue Forecasting, Technical Supporting Document.</t>
  </si>
  <si>
    <t>Round-Trip Travel to/from the San Francisco Peninsula (MTC’s = SF, San Mateo and Santa Clara counties – total population is 3.5million) during SV-CV Period - because the San Jose is CA’s third largest city, San Francisco is CA’s 4th largest, and SF is CA's second most densely populated. Millbrae and Gilroy also served by HSR and are part of the three Peninsula counties. Also analyzed because the Authority claims revenue derived from HSR operating to/from SJV during SV-CV Period</t>
  </si>
  <si>
    <t xml:space="preserve">One-Way distances for travelers using HSR and or Authority buses – starting  from  San Francisco's East Bay (MTC's Alameda and Contra Costa counties-total pop. is 2.9million) during SV-CV Period - because Oakland is CA's eighth most populated city and BART's extension to San Jose makes Oakland accessible to two Bay Area HSR stations.  </t>
  </si>
  <si>
    <t>Note that HSR miles are often longer than driving miles  Although the Authority's map of destinations during  2029-2032.   See Figure 2.1, p. 2-2  [PDF 22] of the 2018 Businness Plan, Ridership and Revenue Forecasting, Technical Supporting Document</t>
  </si>
  <si>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Driving distances and times are measured from Oakland's 12th St. City Center BART station, to Sacramento or San Joaquin Valley destinaton cities' Amtrak stations.  All found at:</t>
    </r>
    <r>
      <rPr>
        <sz val="7"/>
        <color indexed="12"/>
        <rFont val="Calibri"/>
        <family val="2"/>
      </rPr>
      <t xml:space="preserve"> https://www.google.com/maps/</t>
    </r>
  </si>
  <si>
    <r>
      <rPr>
        <i/>
        <sz val="6"/>
        <color theme="1"/>
        <rFont val="Calibri"/>
        <family val="2"/>
      </rPr>
      <t>With the exception of the automobile, intercity transportation options require multiple modes to complete a trip.”</t>
    </r>
    <r>
      <rPr>
        <sz val="6"/>
        <color theme="1"/>
        <rFont val="Calibri"/>
        <family val="2"/>
      </rPr>
      <t xml:space="preserve"> _x000B_See: Volume 1 Bay Area to Central Valley HST Final Program EIR/EIS of 2008 [PDF 224] at:</t>
    </r>
    <r>
      <rPr>
        <sz val="6"/>
        <color rgb="FF0000FF"/>
        <rFont val="Calibri"/>
        <family val="2"/>
      </rPr>
      <t xml:space="preserve"> http://www.hsr.ca.gov/Programs/Environmental_Planning/bay_area_2008.html.</t>
    </r>
    <r>
      <rPr>
        <sz val="6"/>
        <color indexed="18"/>
        <rFont val="Calibri"/>
        <family val="2"/>
      </rPr>
      <t xml:space="preserve">  </t>
    </r>
    <r>
      <rPr>
        <sz val="6"/>
        <color theme="1"/>
        <rFont val="Calibri"/>
        <family val="2"/>
      </rPr>
      <t>Also see  p. 3.2-25 [PDF 250] of that document.  Only Auto travel does not require a modal change; therefore no access or egress times need be added to compute auto travel time.</t>
    </r>
  </si>
  <si>
    <r>
      <rPr>
        <sz val="6"/>
        <color theme="1"/>
        <rFont val="Calibri"/>
        <family val="2"/>
      </rPr>
      <t>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 Americans lose 0%-30% of their daily commute on road traffic delays. See:</t>
    </r>
    <r>
      <rPr>
        <sz val="6"/>
        <color indexed="18"/>
        <rFont val="Calibri"/>
        <family val="2"/>
      </rPr>
      <t xml:space="preserve"> </t>
    </r>
    <r>
      <rPr>
        <sz val="6"/>
        <color indexed="12"/>
        <rFont val="Calibri"/>
        <family val="2"/>
      </rPr>
      <t>http://abcnews.go.com/US/time-americans-waste-traffic/story?id=33313765</t>
    </r>
    <r>
      <rPr>
        <sz val="6"/>
        <color indexed="18"/>
        <rFont val="Calibri"/>
        <family val="2"/>
      </rPr>
      <t xml:space="preserve"> 
</t>
    </r>
  </si>
  <si>
    <t xml:space="preserve">SV-CV Period:       BART Run Times to SFTBT piror to HSR travel. Does not include access to HSR station times (minutes) </t>
  </si>
  <si>
    <t>SV-CV Period:          Access to HSR station from BART and pre-HSR transportation + 15minutes of Transfer Times (minutes)</t>
  </si>
  <si>
    <r>
      <t xml:space="preserve"> See Figure A.1.2 [PDF 61] of the 2018 Businness Plan, Ridership and Revenue Forecasting, Technical Supporting Document (June 2018). </t>
    </r>
    <r>
      <rPr>
        <b/>
        <sz val="6"/>
        <color theme="1"/>
        <rFont val="Calibri Body"/>
      </rPr>
      <t>Note:</t>
    </r>
    <r>
      <rPr>
        <sz val="6"/>
        <color theme="1"/>
        <rFont val="Calibri Body"/>
      </rPr>
      <t xml:space="preserve"> The Authority's numbers are non-stop driving times withuout a congestion factor from Google. No intermediate stops are counted</t>
    </r>
  </si>
  <si>
    <r>
      <rPr>
        <sz val="6"/>
        <color theme="1"/>
        <rFont val="Calibri"/>
        <family val="2"/>
      </rPr>
      <t>The 12th St. Oakland Center to Embarcadero BART Period takes 12minutes and costs $3.45. Found at</t>
    </r>
    <r>
      <rPr>
        <sz val="6"/>
        <color indexed="12"/>
        <rFont val="Calibri"/>
        <family val="2"/>
      </rPr>
      <t>: http://www.bart.gov/tickets/calculator.</t>
    </r>
    <r>
      <rPr>
        <sz val="6"/>
        <color theme="1"/>
        <rFont val="Calibri"/>
        <family val="2"/>
      </rPr>
      <t xml:space="preserve"> There are no prior-to-HSR-travel costs in these calculations</t>
    </r>
  </si>
  <si>
    <r>
      <rPr>
        <sz val="6"/>
        <color theme="1"/>
        <rFont val="Calibri"/>
        <family val="2"/>
      </rPr>
      <t xml:space="preserve">See p. 2-6 [PDF 26] of 2018 Business Plan, Ridership and Revenue Forecasting, Technical Supporting Document that says </t>
    </r>
    <r>
      <rPr>
        <i/>
        <sz val="6"/>
        <color theme="1"/>
        <rFont val="Calibri"/>
        <family val="2"/>
      </rPr>
      <t xml:space="preserve">"$1 from Stockton/Modesto/Denair/Merced/Madera/Fresno Amtrak to Madera." </t>
    </r>
    <r>
      <rPr>
        <sz val="6"/>
        <color theme="1"/>
        <rFont val="Calibri"/>
        <family val="2"/>
      </rPr>
      <t xml:space="preserve">and </t>
    </r>
    <r>
      <rPr>
        <i/>
        <sz val="6"/>
        <color theme="1"/>
        <rFont val="Calibri"/>
        <family val="2"/>
      </rPr>
      <t>"$10 from Sacramento, Elk Grove, and Lodi to Madera."</t>
    </r>
  </si>
  <si>
    <r>
      <t>Based on miles used in</t>
    </r>
    <r>
      <rPr>
        <u/>
        <sz val="6"/>
        <color theme="1"/>
        <rFont val="Verdana"/>
        <family val="2"/>
      </rPr>
      <t xml:space="preserve"> </t>
    </r>
    <r>
      <rPr>
        <sz val="6"/>
        <color theme="1"/>
        <rFont val="Verdana"/>
        <family val="2"/>
      </rPr>
      <t>Independent Determination That the Travel Time Requirements of PROP 1A/AB3034 Cannot Be Met, Paul S. Jones; March 13, 2015. All Oakland-originated travel is funneled through SFTBT to destination and distances as OAK-SFTBT is already counted. Bus fares from Madera north to Merced and Sacramento are counted elsewhere.</t>
    </r>
  </si>
  <si>
    <t>San Francisco-Madera/178miles</t>
  </si>
  <si>
    <t>Los Angeles-Merced/348miles</t>
  </si>
  <si>
    <t>Los Angeles-Fresno/267miles</t>
  </si>
  <si>
    <r>
      <t>Los Angeles-Madera/</t>
    </r>
    <r>
      <rPr>
        <b/>
        <sz val="8"/>
        <color rgb="FF000000"/>
        <rFont val="Calibri"/>
        <family val="2"/>
      </rPr>
      <t>291miles</t>
    </r>
  </si>
  <si>
    <t>LAX-FAT</t>
  </si>
  <si>
    <t>Los Angeles-Bakersfield/160miles</t>
  </si>
  <si>
    <t>Los Angeles-KT Hanford/223miles</t>
  </si>
  <si>
    <t>Burbank (BUR)-Turlock/342miles</t>
  </si>
  <si>
    <t>Los Angeles-Stockton/392miles</t>
  </si>
  <si>
    <t>San Francisco-Merced/202miles</t>
  </si>
  <si>
    <t>San Francisco-Turlock/230miles</t>
  </si>
  <si>
    <t>San Francisco-Modesto/245miles</t>
  </si>
  <si>
    <t>San Francisco-Fresno/199miles</t>
  </si>
  <si>
    <t>San Francisco-KT Hanford/243miles</t>
  </si>
  <si>
    <t xml:space="preserve">SV-CV Period:                     Round-Trip driving mile distances from and returning to </t>
  </si>
  <si>
    <t>SV-CV Period:            Authority Dedicated Bus Run Times: Merced-Madera (minutes). Does not include access+ egress times</t>
  </si>
  <si>
    <r>
      <t>Based on Table A.1.1 p. A-1 [PDF 61] of the 2018 Business Plan, Ridership and Revenue Forecasting, Technical Supporting Document, which says,</t>
    </r>
    <r>
      <rPr>
        <i/>
        <sz val="6"/>
        <color theme="1"/>
        <rFont val="Calibri (Body)_x0000_"/>
      </rPr>
      <t>"HSR Bus Transfer Time   15"</t>
    </r>
  </si>
  <si>
    <r>
      <rPr>
        <i/>
        <sz val="6.5"/>
        <color theme="1"/>
        <rFont val="Calibri"/>
        <family val="2"/>
      </rPr>
      <t>See p. 2-6 [PDF 26] of 2018 Business Plan, Ridership and Revenue Forecasting, Technical Supporting Document that says "$1 from Stockton/Modesto/Denair/Merced/Madera/Fresno Amtrak to Madera." and "$10 from Sacramento, Elk Grove, and Lodi to Madera."</t>
    </r>
    <r>
      <rPr>
        <sz val="6.5"/>
        <color theme="1"/>
        <rFont val="Calibri"/>
        <family val="2"/>
      </rPr>
      <t xml:space="preserve"> Metrolink Anaheim-LAUS fare is $8.75.  See:</t>
    </r>
    <r>
      <rPr>
        <sz val="6.5"/>
        <color rgb="FF0070C0"/>
        <rFont val="Calibri"/>
        <family val="2"/>
      </rPr>
      <t xml:space="preserve"> </t>
    </r>
    <r>
      <rPr>
        <sz val="6.5"/>
        <color rgb="FF0000FF"/>
        <rFont val="Calibri"/>
        <family val="2"/>
      </rPr>
      <t>https://www.metrolinktrains.com/ticketsOverview/ticket-info/price-finder/</t>
    </r>
  </si>
  <si>
    <r>
      <t>See p. 2-6 [PDF 25] of 2018 Business Plan, Ridership and Revenue Forecasting, Technical Supporting Document that says,</t>
    </r>
    <r>
      <rPr>
        <i/>
        <sz val="6.5"/>
        <color theme="1"/>
        <rFont val="Calibri"/>
        <family val="2"/>
      </rPr>
      <t xml:space="preserve"> "$13 from Bakersfield to Southern California locations."</t>
    </r>
  </si>
  <si>
    <t>Based on Independent Determination That the Travel Time Requirements of PROP 1A/AB3034 Cannot Be Met, Paul S. Jones; March 13, 2015.  Other columns count the costs of Authority Dedicated Bus riders</t>
  </si>
  <si>
    <t>FAT-SJC</t>
  </si>
  <si>
    <t>BFL-BUR</t>
  </si>
  <si>
    <t>FAT-SMF</t>
  </si>
  <si>
    <t>BFL-LAX</t>
  </si>
  <si>
    <r>
      <rPr>
        <sz val="6.5"/>
        <color theme="1"/>
        <rFont val="Calibri"/>
        <family val="2"/>
      </rPr>
      <t>Fight advance purchases found at:</t>
    </r>
    <r>
      <rPr>
        <sz val="6.5"/>
        <color indexed="18"/>
        <rFont val="Calibri"/>
        <family val="2"/>
      </rPr>
      <t xml:space="preserve"> </t>
    </r>
    <r>
      <rPr>
        <sz val="6.5"/>
        <color indexed="12"/>
        <rFont val="Calibri"/>
        <family val="2"/>
      </rPr>
      <t>https://www.kayak.com/flights/</t>
    </r>
    <r>
      <rPr>
        <sz val="6.5"/>
        <color indexed="18"/>
        <rFont val="Calibri"/>
        <family val="2"/>
      </rPr>
      <t xml:space="preserve">. </t>
    </r>
    <r>
      <rPr>
        <sz val="6.5"/>
        <color theme="1"/>
        <rFont val="Calibri"/>
        <family val="2"/>
      </rPr>
      <t>See Screen Shots to/from folder</t>
    </r>
  </si>
  <si>
    <t>Bakersfield-Burbank (BUR)/                               154miles</t>
  </si>
  <si>
    <r>
      <t>Note: The Authority's Sacramento-Madera buses are subsidized. Why? While the Authority's Bus fare is $10.00, Greyhound's Sacramento-Madera fare is $20. See:</t>
    </r>
    <r>
      <rPr>
        <sz val="8"/>
        <color rgb="FF0000FF"/>
        <rFont val="Calibri"/>
        <family val="2"/>
      </rPr>
      <t xml:space="preserve"> https://www.greyhound.com/en/ecommerce/schedule	</t>
    </r>
    <r>
      <rPr>
        <sz val="8"/>
        <color theme="1"/>
        <rFont val="Calibri"/>
        <family val="2"/>
      </rPr>
      <t xml:space="preserve">			</t>
    </r>
  </si>
  <si>
    <r>
      <t>Note; Although Dedicated Authority Buses serve Van Nuys, West LA, and Santa Anita during  SV-CV Period (2029-2033) this is the only instance of such service making analysis of these Orgins and Destinations an anomaly and leading the Authors to substitute OC Gateway and Anaheim - the post-2033 - destinations as being more realistic. Note: The Authority's Sacramento-Madera buses are subsidized. Why? While the Authority's Bus fare is $10.00, Greyhound's Sacramento-Madera fare is $20. See: https://www.greyhound.com/en/ecommerce/schedule				But Authority patrons on of its buses two routes, LA-Bakersfield and OC Gateway-Bakersfield, are not subsidized. The Authority dedicated bus over the Tehachapi range wil charge $13 and the Greyhound Bus on the route charges $12.  See:</t>
    </r>
    <r>
      <rPr>
        <sz val="7"/>
        <color rgb="FF0000FF"/>
        <rFont val="Calibri"/>
        <family val="2"/>
      </rPr>
      <t xml:space="preserve"> https://www.greyhound.com/en/ecommerce/schedule</t>
    </r>
  </si>
  <si>
    <r>
      <t xml:space="preserve">See p. 2-6 [PDF 26] of 2018 Business Plan, Ridership and Revenue Forecasting, Technical Supporting Document that says </t>
    </r>
    <r>
      <rPr>
        <i/>
        <sz val="6"/>
        <color theme="1"/>
        <rFont val="Calibri"/>
        <family val="2"/>
      </rPr>
      <t xml:space="preserve">"$1 from Stockton/Modesto/Denair/Merced/Madera/Fresno Amtrak to Madera." </t>
    </r>
  </si>
  <si>
    <t xml:space="preserve">Elements of High-Speed Rail Total Travel Times Arranged Sequentially    .        </t>
  </si>
  <si>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Driving distances and times are measured from each San Joaquin Valley  cities' Amtrak stations.  All found at:</t>
    </r>
    <r>
      <rPr>
        <sz val="7"/>
        <color indexed="12"/>
        <rFont val="Calibri"/>
        <family val="2"/>
      </rPr>
      <t xml:space="preserve"> </t>
    </r>
    <r>
      <rPr>
        <sz val="7"/>
        <color rgb="FF0000FF"/>
        <rFont val="Calibri"/>
        <family val="2"/>
      </rPr>
      <t>https://www.google.com/maps/</t>
    </r>
  </si>
  <si>
    <t>SV-CV Period:          Authority Bus Run Time - only from Merced to Madera (minutes). Does not include access+ egress times</t>
  </si>
  <si>
    <t>Fresno-Los Angeles/267miles</t>
  </si>
  <si>
    <r>
      <t>Based on note below Table A.1.3 p. A-1 [PDF 61] of the 2018 Business Plan, Ridership and Revenue Forecasting, Technical Supporting Document, which says,</t>
    </r>
    <r>
      <rPr>
        <i/>
        <sz val="6"/>
        <color theme="1"/>
        <rFont val="Calibri (Body)_x0000_"/>
      </rPr>
      <t>"HSR Bus Transfer Time   15"</t>
    </r>
  </si>
  <si>
    <t>SV-CV Period:            Transfer Times in Bakersfield (minutes) to take Authority Dedicated Bus to BUR or LAUS</t>
  </si>
  <si>
    <t>FAT-BUR</t>
  </si>
  <si>
    <t xml:space="preserve">Elements of High-Speed Rail Total Travel Times Arranged Sequentially          </t>
  </si>
  <si>
    <t xml:space="preserve">Elements of High-Speed Rail Total Travel Times Arranged Sequentially     </t>
  </si>
  <si>
    <t>Bakersfield-San Francisco/306miles</t>
  </si>
  <si>
    <t>One-way distances for travelers using HSR and or Authority buses – starting  from  the the San Joaquin Valley (SJV Region) because Fresno is CA's fifth largest city and because the Authority claims HSR revenue derived from HSR travel to Adjacent regions during SV-CV Period.</t>
  </si>
  <si>
    <t>SV-CV Period:            Transfer Times in Madera from the Merced-Madera Authority bus (minutes) to take HSR train to SFTBT or to Bakersfield to go to LAUS or Norwalk</t>
  </si>
  <si>
    <t xml:space="preserve">SV-CV Period:            HSR Run Times: Fresno-Bakersfield and Merced-Bakersfield  to catch the Authority cross-Tehachapi Bus plus Run Time Bakersfield-SFTBT (minutes). </t>
  </si>
  <si>
    <r>
      <t>Based on Table A.1.1 p. A-1 [PDF 61] of the 2018 Business Plan, Ridership and Revenue Forecasting, Technical Supporting Document, which says,</t>
    </r>
    <r>
      <rPr>
        <i/>
        <sz val="6"/>
        <color theme="1"/>
        <rFont val="Calibri"/>
        <family val="2"/>
      </rPr>
      <t>"HSR Bus Transfer Time   15"</t>
    </r>
  </si>
  <si>
    <r>
      <rPr>
        <sz val="6"/>
        <color theme="1"/>
        <rFont val="Calibri"/>
        <family val="2"/>
      </rPr>
      <t xml:space="preserve">See p. 2-6 [PDF 26] of 2018 Business Plan, Ridership and Revenue Forecasting, Technical Supporting Document that says </t>
    </r>
    <r>
      <rPr>
        <i/>
        <sz val="6"/>
        <color theme="1"/>
        <rFont val="Calibri"/>
        <family val="2"/>
      </rPr>
      <t xml:space="preserve">"$1 from Stockton/Modesto/Denair/Merced/Madera/Fresno Amtrak to Madera." </t>
    </r>
    <r>
      <rPr>
        <b/>
        <i/>
        <sz val="6"/>
        <color theme="1"/>
        <rFont val="Calibri"/>
        <family val="2"/>
      </rPr>
      <t>Note:</t>
    </r>
    <r>
      <rPr>
        <i/>
        <sz val="6"/>
        <color theme="1"/>
        <rFont val="Calibri"/>
        <family val="2"/>
      </rPr>
      <t xml:space="preserve"> These routes are deeply subsidized; i.e. Greyhound's Merced-Madera fare is $15. See:</t>
    </r>
    <r>
      <rPr>
        <i/>
        <sz val="6"/>
        <color rgb="FF0000FF"/>
        <rFont val="Calibri"/>
        <family val="2"/>
      </rPr>
      <t xml:space="preserve"> https://www.greyhound.com/en/ecommerce/schedule</t>
    </r>
  </si>
  <si>
    <r>
      <t xml:space="preserve">See p. 2-6 [PDF 26] of 2018 Business Plan, Ridership and Revenue Forecasting, Technical Supporting Document that says, </t>
    </r>
    <r>
      <rPr>
        <i/>
        <sz val="6.5"/>
        <color theme="1"/>
        <rFont val="Calibri"/>
        <family val="2"/>
      </rPr>
      <t>"$13 from Bakersfield to Southern California locations."</t>
    </r>
  </si>
  <si>
    <t>Based on miles used in Independent Determination That the Travel Time Requirements of PROP 1A/AB3034 Cannot Be Met, Paul S. Jones; March 13, 2015. Miles for Madera-Bakersfield are Dr. Jones' Fresno-Bakersfield miles + 29miles Madera-Fresno from Google's driving miles.</t>
  </si>
  <si>
    <r>
      <rPr>
        <sz val="7"/>
        <color theme="1"/>
        <rFont val="Calibri"/>
        <family val="2"/>
      </rPr>
      <t>Note; Although Dedicated Authority Buses serve Van Nuys, West LA, and Santa Anita during  SV-CV Period (2029-2033) this is the only instance of such service, making analysis of these Orgins and Destinations an anomaly and leading the Authors to substitute OC Gateway and Anaheim - the post-2033 - destinations as being more realistic. The Authority dedicated bus over the Tehachapi range wil charge $13 and the Greyhound Bus on the route charges $12.  See:</t>
    </r>
    <r>
      <rPr>
        <sz val="7"/>
        <color indexed="18"/>
        <rFont val="Calibri"/>
        <family val="2"/>
      </rPr>
      <t xml:space="preserve"> </t>
    </r>
    <r>
      <rPr>
        <sz val="7"/>
        <color rgb="FF0000FF"/>
        <rFont val="Calibri"/>
        <family val="2"/>
      </rPr>
      <t>https://www.greyhound.com/en/ecommerce/schedule</t>
    </r>
  </si>
  <si>
    <r>
      <rPr>
        <b/>
        <sz val="7"/>
        <color theme="1"/>
        <rFont val="Calibri"/>
        <family val="2"/>
      </rPr>
      <t>Note: although Sacramento is tecnically part of the San Joaquin Valley (SJV), the Authority separated the Sacramento Area Council of Governments (SACOG) ridership and revenue from SJV.</t>
    </r>
    <r>
      <rPr>
        <sz val="7"/>
        <color theme="1"/>
        <rFont val="Calibri"/>
        <family val="2"/>
      </rPr>
      <t xml:space="preserve"> Hence, this separate category of analyses. Name of Origin and Destination and one-way HSR miles between the stations. Note that HSR miles are often longer than driving miles. See Figure 2.1, p. 2-2  [PDF 22] of the 2018 Businness Plan, Ridership and Revenue Forecasting, Technical Supporting Document</t>
    </r>
  </si>
  <si>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All driving miles and times are between Sacramento's Amtrak station and destination cities' Amtrak stations. Driving miles and times are found at: </t>
    </r>
    <r>
      <rPr>
        <sz val="7"/>
        <color rgb="FF0000FF"/>
        <rFont val="Calibri"/>
        <family val="2"/>
      </rPr>
      <t>https://www.google.com/maps/</t>
    </r>
    <r>
      <rPr>
        <sz val="7"/>
        <color theme="1"/>
        <rFont val="Calibri"/>
        <family val="2"/>
      </rPr>
      <t>.  Since there is no direct HSR service between Merced and the SF Bay Area ( MTC), to go from Sacramento to any point in the SF Bay Area requires changing in Fresno from an HSR train originating in Madera to go westward to MTC. No HSR mileage is given for Sacramento-MTC, therefore mileage is the 172miles of Sacramento-Fresno, then Fresno to Gilroy, San Jose, Millbrae and SFTBT miles the traveler must go when using HSR's train and bus.</t>
    </r>
  </si>
  <si>
    <t>SV-CV Period:          Pre-HSR transportation Wait Times: does not include access to Sacramento HSR station nor egress times at HSR station near destinations (minutes)</t>
  </si>
  <si>
    <t>SV-CV Period:            Authority's Dedicated Bus' Run Times, Sacramento to Stockton,  or Sacramento to Merced or from Sacramento to Madera for travel further south (minutes)</t>
  </si>
  <si>
    <t>SV-CV Period:   Transfer Time from Authority bus in Madera to board an HSR train south or westward. (minutes)</t>
  </si>
  <si>
    <t>SV-CV Period:    HSR  Run Times Madera-Fresno or Madera-Gilroy</t>
  </si>
  <si>
    <t>SV-CV Period:            Authority Dedicated Bus fares Sacramento-Madera prior to or after taking HSR in Madera.</t>
  </si>
  <si>
    <r>
      <rPr>
        <sz val="6"/>
        <color theme="1"/>
        <rFont val="Calibri"/>
        <family val="2"/>
      </rPr>
      <t xml:space="preserve">See p. 2-6 [PDF 26] of 2018 Business Plan, Ridership and Revenue Forecasting, Technical Supporting Document that says </t>
    </r>
    <r>
      <rPr>
        <i/>
        <sz val="6"/>
        <color theme="1"/>
        <rFont val="Calibri"/>
        <family val="2"/>
      </rPr>
      <t>"$10 from Sacramento, Elk Grove, and Lodi to Madera."</t>
    </r>
    <r>
      <rPr>
        <sz val="6"/>
        <color theme="1"/>
        <rFont val="Calibri"/>
        <family val="2"/>
      </rPr>
      <t xml:space="preserve"> </t>
    </r>
    <r>
      <rPr>
        <b/>
        <sz val="6"/>
        <color theme="1"/>
        <rFont val="Calibri"/>
        <family val="2"/>
      </rPr>
      <t>Note: These routes are deeply subsidized;</t>
    </r>
    <r>
      <rPr>
        <sz val="6"/>
        <color theme="1"/>
        <rFont val="Calibri"/>
        <family val="2"/>
      </rPr>
      <t xml:space="preserve"> i.e. Greyhound's Sacramento-Madera fare is $20: Sacrammento-Merced fare is $25. See:</t>
    </r>
    <r>
      <rPr>
        <sz val="6"/>
        <color rgb="FFFF0000"/>
        <rFont val="Calibri"/>
        <family val="2"/>
      </rPr>
      <t xml:space="preserve"> </t>
    </r>
    <r>
      <rPr>
        <sz val="6"/>
        <color rgb="FF0000FF"/>
        <rFont val="Calibri"/>
        <family val="2"/>
      </rPr>
      <t>https://www.greyhound.com/en/ecommerce/schedule</t>
    </r>
  </si>
  <si>
    <r>
      <t>Note: The Sacramento-Origin bus routes are deeply subsidized</t>
    </r>
    <r>
      <rPr>
        <b/>
        <sz val="6"/>
        <color theme="1"/>
        <rFont val="Verdana"/>
        <family val="2"/>
      </rPr>
      <t xml:space="preserve">; </t>
    </r>
    <r>
      <rPr>
        <sz val="6"/>
        <color theme="1"/>
        <rFont val="Verdana"/>
        <family val="2"/>
      </rPr>
      <t xml:space="preserve">i.e. While the Authority's Bus fare is $1.00, Greyhound's Sacramento-Madera fare is $20. See: </t>
    </r>
    <r>
      <rPr>
        <sz val="6"/>
        <color rgb="FF0000FF"/>
        <rFont val="Verdana"/>
        <family val="2"/>
      </rPr>
      <t>https://www.greyhound.com/en/ecommerce/schedule</t>
    </r>
  </si>
  <si>
    <t>SMF-SJC</t>
  </si>
  <si>
    <r>
      <rPr>
        <sz val="6.5"/>
        <color theme="1"/>
        <rFont val="Calibri"/>
        <family val="2"/>
      </rPr>
      <t>Fight advance purchases found at:</t>
    </r>
    <r>
      <rPr>
        <sz val="6.5"/>
        <color indexed="18"/>
        <rFont val="Calibri"/>
        <family val="2"/>
      </rPr>
      <t xml:space="preserve"> </t>
    </r>
    <r>
      <rPr>
        <sz val="6.5"/>
        <color indexed="12"/>
        <rFont val="Calibri"/>
        <family val="2"/>
      </rPr>
      <t>https://www.kayak.com/flights/</t>
    </r>
    <r>
      <rPr>
        <sz val="6.5"/>
        <color indexed="18"/>
        <rFont val="Calibri"/>
        <family val="2"/>
      </rPr>
      <t>.</t>
    </r>
    <r>
      <rPr>
        <sz val="6.5"/>
        <color theme="1"/>
        <rFont val="Calibri"/>
        <family val="2"/>
      </rPr>
      <t xml:space="preserve"> See Screen Shots to/from folder</t>
    </r>
  </si>
  <si>
    <t>Round-Trip Travel to/from Sacramento's Amtrak Station because Sacramento is the 5th most populated city and because the Authority claims revenue derived from HSR travel to/from SACOG to Adjacent Regions (MTC and SJV) during SV-CV Period  .</t>
  </si>
  <si>
    <t>One-Way distances for travelers using HSR and or Authority buses – starting  from  Sacramento's Amtrak Station because Sacramento is the 5th most populated city and because the Authority claims revenue derived from HSR travel to/from SACOG to Adjancent Regions (MTC and SJV) during SV-CV Period  .</t>
  </si>
  <si>
    <r>
      <t xml:space="preserve"> Sacramento-San Francisco/</t>
    </r>
    <r>
      <rPr>
        <b/>
        <sz val="8"/>
        <color rgb="FF000000"/>
        <rFont val="Calibri"/>
        <family val="2"/>
      </rPr>
      <t>312miles</t>
    </r>
  </si>
  <si>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All driving miles and times are between Sacramento's Amtrak station and destination cities' Amtrak stations. Driving miles and times are found at:</t>
    </r>
    <r>
      <rPr>
        <sz val="7"/>
        <color indexed="12"/>
        <rFont val="Calibri"/>
        <family val="2"/>
      </rPr>
      <t xml:space="preserve"> </t>
    </r>
    <r>
      <rPr>
        <sz val="7"/>
        <color rgb="FF0000FF"/>
        <rFont val="Calibri"/>
        <family val="2"/>
      </rPr>
      <t>https://www.google.com/maps/</t>
    </r>
    <r>
      <rPr>
        <sz val="7"/>
        <color theme="1"/>
        <rFont val="Calibri"/>
        <family val="2"/>
      </rPr>
      <t xml:space="preserve">.  Since there is no direct HSR service to the SF Bay Area( MTC), to go from Sacramento to any point in the SF Bay Area requires changing in Madera to go westward to MTC. </t>
    </r>
  </si>
  <si>
    <t>SV-CV Period:   Transfer Time in Madera for HSR after Dedicated Bus ride (minutes)</t>
  </si>
  <si>
    <t>SV-CV Period:            Authority's Dedicated Bus' Run Times, Sacramento-Madera  (minutes)</t>
  </si>
  <si>
    <r>
      <rPr>
        <sz val="6"/>
        <color theme="1"/>
        <rFont val="Calibri"/>
        <family val="2"/>
      </rPr>
      <t xml:space="preserve">See p. 2-6 [PDF 26] of 2018 Business Plan, Ridership and Revenue Forecasting, Technical Supporting Document that says </t>
    </r>
    <r>
      <rPr>
        <i/>
        <sz val="6"/>
        <color theme="1"/>
        <rFont val="Calibri"/>
        <family val="2"/>
      </rPr>
      <t>"$10 from Sacramento, Elk Grove, and Lodi to Madera."</t>
    </r>
    <r>
      <rPr>
        <sz val="6"/>
        <color theme="1"/>
        <rFont val="Calibri"/>
        <family val="2"/>
      </rPr>
      <t xml:space="preserve"> </t>
    </r>
    <r>
      <rPr>
        <b/>
        <sz val="6"/>
        <color theme="1"/>
        <rFont val="Calibri"/>
        <family val="2"/>
      </rPr>
      <t>Note:</t>
    </r>
    <r>
      <rPr>
        <sz val="6"/>
        <color theme="1"/>
        <rFont val="Calibri"/>
        <family val="2"/>
      </rPr>
      <t xml:space="preserve"> These routes are deeply subsidized</t>
    </r>
    <r>
      <rPr>
        <b/>
        <sz val="6"/>
        <color theme="1"/>
        <rFont val="Calibri"/>
        <family val="2"/>
      </rPr>
      <t>;</t>
    </r>
    <r>
      <rPr>
        <sz val="6"/>
        <color theme="1"/>
        <rFont val="Calibri"/>
        <family val="2"/>
      </rPr>
      <t xml:space="preserve"> i.e. Greyhound's Sacramento-Madera fare is $20: Sacrammento-Merced fare is $25. See:</t>
    </r>
    <r>
      <rPr>
        <sz val="6"/>
        <color theme="4" tint="-0.249977111117893"/>
        <rFont val="Calibri"/>
        <family val="2"/>
      </rPr>
      <t xml:space="preserve"> </t>
    </r>
    <r>
      <rPr>
        <sz val="6"/>
        <color rgb="FF0000FF"/>
        <rFont val="Calibri"/>
        <family val="2"/>
      </rPr>
      <t>https://www.greyhound.com/en/ecommerce/schedule</t>
    </r>
  </si>
  <si>
    <r>
      <rPr>
        <sz val="7"/>
        <color theme="1"/>
        <rFont val="Calibri"/>
        <family val="2"/>
      </rPr>
      <t>For Caltrain fare SJ-Millbrea, see:</t>
    </r>
    <r>
      <rPr>
        <sz val="7"/>
        <color rgb="FF0000FF"/>
        <rFont val="Calibri"/>
        <family val="2"/>
      </rPr>
      <t xml:space="preserve"> http://www.caltrain.com/Fares/farechart.html</t>
    </r>
  </si>
  <si>
    <r>
      <t>Note: The Sacramento-Origin bus routes are deeply subsidized;</t>
    </r>
    <r>
      <rPr>
        <b/>
        <sz val="6"/>
        <color theme="1"/>
        <rFont val="Verdana"/>
        <family val="2"/>
      </rPr>
      <t xml:space="preserve"> </t>
    </r>
    <r>
      <rPr>
        <sz val="6"/>
        <color theme="1"/>
        <rFont val="Verdana"/>
        <family val="2"/>
      </rPr>
      <t>i.e. While the Authority's Bus fare is$10.00, Greyhound's Sacramento-Madera fare is $20. See:</t>
    </r>
    <r>
      <rPr>
        <sz val="6"/>
        <color rgb="FF0000FF"/>
        <rFont val="Verdana"/>
        <family val="2"/>
      </rPr>
      <t xml:space="preserve"> https://www.greyhound.com/en/ecommerce/schedule</t>
    </r>
  </si>
  <si>
    <t>SMF-SFO</t>
  </si>
  <si>
    <r>
      <t xml:space="preserve">Note: The Authority's Sacramento-Madera buses are subsidized. Why? While the Authority's Bus fare is $10.00, Greyhound's Sacramento-Madera fare is $20. See: </t>
    </r>
    <r>
      <rPr>
        <sz val="7"/>
        <color rgb="FF0000FF"/>
        <rFont val="Calibri"/>
        <family val="2"/>
      </rPr>
      <t>https://www.greyhound.com/en/ecommerce/schedule</t>
    </r>
    <r>
      <rPr>
        <sz val="7"/>
        <color rgb="FF3366FF"/>
        <rFont val="Calibri"/>
        <family val="2"/>
      </rPr>
      <t xml:space="preserve">	</t>
    </r>
    <r>
      <rPr>
        <sz val="7"/>
        <color theme="1"/>
        <rFont val="Calibri"/>
        <family val="2"/>
      </rPr>
      <t xml:space="preserve">			</t>
    </r>
  </si>
  <si>
    <t>Round-Trip Travel to/from Sacramento's Amtrak Station because Sacramento is the5th most populated city  and because the Authority claims revenue derived from HSR travel to/from SACOG to Adjancent Regions (MTC and SJV) during SV-CV Period.</t>
  </si>
  <si>
    <t xml:space="preserve">One-Way distances for travelers using HSR and or Authority buses – starting  from San Diego's Santa Fe Station during SV-CV Period  because San Diego metro area is California's 3rd most populated area. Name of Origin and Destination and one-way HSR miles between the stations. Mileage from San Diego to LA and Anaheim are driving miles as no HSR train runs on those routes. </t>
  </si>
  <si>
    <t>Note: There is no Authority Bus or HSR service to/from Palmdale during SV-CV Period (2029-2033). Times for San Diego-LAUS and San Diego-Anaheim are Amtrak's Pacific Surfliner Run Times as there is no HSR or Authority service to or from San Diego County before 2040. The LA Metro area destinations are where a San Diego Origin or Destination traveler could link of with Authority Dedicated Bus service to cross the Tehachapi mountains to Bakersfield.  These are not Santa Anita, W. LA or Van Nuys, because none appear four years after 2029; i.e. during Phase 1.</t>
  </si>
  <si>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All driving miles and times are measured from San Diego's Santa Fe Station (1050 Ketner Blvd) to the Amtrak station at each destination except for Burbank Airport (BUR). All found at</t>
    </r>
    <r>
      <rPr>
        <sz val="7"/>
        <color indexed="17"/>
        <rFont val="Calibri"/>
        <family val="2"/>
      </rPr>
      <t>:</t>
    </r>
    <r>
      <rPr>
        <sz val="7"/>
        <color rgb="FF0000FF"/>
        <rFont val="Calibri"/>
        <family val="2"/>
      </rPr>
      <t xml:space="preserve"> https://www.google.com/maps/</t>
    </r>
  </si>
  <si>
    <t>SV-CV Period: Transfer Time for Amtrak Pacific Surfliner at 1050 Kettner Blvid, San Diego; does not include access to San Diego HSR station times (minutes)</t>
  </si>
  <si>
    <t xml:space="preserve">SV-CV Period: Amtrak Pacific Surfliner Run Times San Diego-Los Angeles Union Station or San Diego-Anaheim piror to HSR travel (minutes) </t>
  </si>
  <si>
    <r>
      <t>San Diego-Los Angeles/</t>
    </r>
    <r>
      <rPr>
        <b/>
        <sz val="8"/>
        <color rgb="FF000000"/>
        <rFont val="Calibri"/>
        <family val="2"/>
      </rPr>
      <t>120miles</t>
    </r>
  </si>
  <si>
    <r>
      <t>San Diego-Burbank (BUR)/</t>
    </r>
    <r>
      <rPr>
        <b/>
        <sz val="8"/>
        <color rgb="FF000000"/>
        <rFont val="Calibri"/>
        <family val="2"/>
      </rPr>
      <t>126miles</t>
    </r>
  </si>
  <si>
    <t>Amtrak's Pacific Surfliner Train #173's Run Time San Diego-LAUS is 170minutes. The fastest one-way San Diego-Anaheim Amtrak Pacific Surfliner is #265: one-way that takes 125minutes. The one-way fare is $28. See: https://tickets.amtrak.com/itd/amtrak</t>
  </si>
  <si>
    <r>
      <rPr>
        <sz val="6"/>
        <color theme="1"/>
        <rFont val="Calibri"/>
        <family val="2"/>
      </rPr>
      <t>Metrolink  LAUS-BUR takes 26minutes and costs $6.00  and Metrolink LAUS-Palmdale takes  124minutes and costs $10.75  . Found at:</t>
    </r>
    <r>
      <rPr>
        <sz val="6"/>
        <color indexed="18"/>
        <rFont val="Calibri"/>
        <family val="2"/>
      </rPr>
      <t xml:space="preserve"> </t>
    </r>
    <r>
      <rPr>
        <sz val="6"/>
        <color rgb="FF0000FF"/>
        <rFont val="Calibri"/>
        <family val="2"/>
      </rPr>
      <t>http://www.metrolinktrains.com/tripplanner/</t>
    </r>
  </si>
  <si>
    <t>SV-CV Period:   Amtrak Pacific Surfliner Ticket San Diego (SAN) to Los Angeles Union Station or to Anaheim</t>
  </si>
  <si>
    <t xml:space="preserve"> Travel to/from Los Angeles area (SCAG) during SV-CV Period - because the LA metro area is the largest in CA and because the Authority claims revenue derived from HSR operations to/from SJV, although the only link is a 2hour 12minute or 2hour 40minute Authority bus ride between the LA Metro Area and the San Joaquin Valley.  All travelers to/from  the LA areamust use a bus to cross the Tehachapi Mountains to BakersfieldL</t>
  </si>
  <si>
    <t>SV-CV Period:            Transfer Times at LAUS or designated pick-up cities for Authority dedicated bus to cross theTechachapis from the LA Basin (minutes) not counted in access+egress times</t>
  </si>
  <si>
    <r>
      <t xml:space="preserve">Below Table A.1.1 p. A-1, [PDF 61] of the 2018 Business Plan, Ridership and Revenue Forecasting, Technical Supporting Document says </t>
    </r>
    <r>
      <rPr>
        <i/>
        <sz val="6"/>
        <color theme="1"/>
        <rFont val="Calibri"/>
        <family val="2"/>
      </rPr>
      <t>"HSR Bus Transfer Time  15"</t>
    </r>
  </si>
  <si>
    <t>Uses Run Times from Table A.1.2, p. A-1 [PDF 61] of 2018 Businness Plan, Ridership and Revenue Forecasting, Technical Supporting Document (June 2018)</t>
  </si>
  <si>
    <r>
      <t>Los Angeles-Gilroy/</t>
    </r>
    <r>
      <rPr>
        <b/>
        <sz val="7"/>
        <color indexed="8"/>
        <rFont val="Calibri"/>
        <family val="2"/>
      </rPr>
      <t>388miles</t>
    </r>
  </si>
  <si>
    <t>Per occupant Auto costs based on 110% of 23¢/mile (25¢/mile). For the Authority-set 23¢/mile, see Table 3.3, p.3-4  [PDF 32] of the  High-Speed Rail 2018 Business Plan, Ridership and Revenue Forecasting: Technical Supporting Document (June 2018)
"</t>
  </si>
  <si>
    <t>See: Independent Determination That the Travel Time Requirements of PROP 1A/AB3034 Cannot Be Met, Paul S. Jones; March 13, 2015. Added 27 driving miles Long Beach to LAUS and 10 driving miles SF-Oakland distance)</t>
  </si>
  <si>
    <t>SV-CV Period:              One-way Authority formula-based HSR fares</t>
  </si>
  <si>
    <r>
      <t xml:space="preserve">Los Angeles-Gilroy/                                           </t>
    </r>
    <r>
      <rPr>
        <b/>
        <sz val="7"/>
        <color indexed="8"/>
        <rFont val="Calibri"/>
        <family val="2"/>
      </rPr>
      <t>388miles</t>
    </r>
  </si>
  <si>
    <r>
      <t>Burbank (BUR)-San Jose</t>
    </r>
    <r>
      <rPr>
        <b/>
        <sz val="7"/>
        <color indexed="8"/>
        <rFont val="Calibri"/>
        <family val="2"/>
      </rPr>
      <t>/                                           412miles</t>
    </r>
  </si>
  <si>
    <r>
      <t xml:space="preserve">Minutes gained traveling Door-to-Door round-trip using Air (includes an </t>
    </r>
    <r>
      <rPr>
        <u/>
        <sz val="7"/>
        <color theme="1"/>
        <rFont val="Calibri (Body)_x0000_"/>
      </rPr>
      <t>extra</t>
    </r>
    <r>
      <rPr>
        <sz val="7"/>
        <color theme="1"/>
        <rFont val="Calibri (Body)_x0000_"/>
      </rPr>
      <t xml:space="preserve"> 2*45minutes for security) versus HSR</t>
    </r>
  </si>
  <si>
    <t xml:space="preserve"> Travel to/from Los Angeles area (SCAG) during SV-CV Period - because the LA metro area is the largest in CA and because the Authority claims revenue derived from HSR operations to/from SJV, although the only link is a 2hour 12minute or 2hour 40minute Authority bus ride between the Adjacent Regions. All travelers to/from  the LA Basin must use an Authority dedicated bus to cross the Tehachapi Mountains to Bakersfield</t>
  </si>
  <si>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From Anaheim Intermodal Transport Center or LAUS (800 North Alameda St.)  or Norwalk (OC Gateway at 12650 Imperial Highway) or Long Beach Transit Center to Amtrak or Caltrain or BART staton of each destination. Found at</t>
    </r>
    <r>
      <rPr>
        <sz val="7"/>
        <color indexed="18"/>
        <rFont val="Calibri"/>
        <family val="2"/>
      </rPr>
      <t xml:space="preserve">: </t>
    </r>
    <r>
      <rPr>
        <sz val="7"/>
        <color rgb="FF0000FF"/>
        <rFont val="Calibri"/>
        <family val="2"/>
      </rPr>
      <t>https://www.google.com/maps/</t>
    </r>
  </si>
  <si>
    <r>
      <t>Los Angeles-San Francisco</t>
    </r>
    <r>
      <rPr>
        <b/>
        <sz val="7"/>
        <color indexed="8"/>
        <rFont val="Calibri"/>
        <family val="2"/>
      </rPr>
      <t>/466miles</t>
    </r>
  </si>
  <si>
    <r>
      <t>Los Angeles-San Jose</t>
    </r>
    <r>
      <rPr>
        <b/>
        <sz val="7"/>
        <rFont val="Calibri"/>
        <family val="2"/>
      </rPr>
      <t>/418miles</t>
    </r>
  </si>
  <si>
    <t>SV-CV Period:            Transfer Times at LAUS or designated pick-up cities for Dedicated Bus to cross the Techachapis from the LA Basin (minutes) not counted in access+egress times</t>
  </si>
  <si>
    <t>SV-CV Period:           Transfer Time in Bakersfield after Techachapi crossing to board northbound HSR (minutes)</t>
  </si>
  <si>
    <t>Uses Run Times from Table A.1.2, p. A-1 [PDF 61] of 2018  Businness Plan, Ridership and Revenue Forecasting, Technical Supporting Document (June 2018)</t>
  </si>
  <si>
    <t>SV-CV Period: Transfer Time in SFTBT at end of HSR travel to catch BART to Oakland (minutes)</t>
  </si>
  <si>
    <t xml:space="preserve">There is no planned BART connection at SFTBT.  An HSR patron must walk 4 blocks to the Embarcadero BART station, estimated to take 10 minutes, then wait 15 minutes for BART to 12th St. Oakland Center for 15minutes.  </t>
  </si>
  <si>
    <r>
      <t xml:space="preserve">The 12th St. Oakland Center to Embarcadero BART Period takes 12minutes and costs $3.45. Found at: </t>
    </r>
    <r>
      <rPr>
        <sz val="7"/>
        <color rgb="FF0000FF"/>
        <rFont val="Calibri"/>
        <family val="2"/>
      </rPr>
      <t xml:space="preserve">http://www.bart.gov/tickets/calculator. </t>
    </r>
  </si>
  <si>
    <r>
      <rPr>
        <i/>
        <sz val="7"/>
        <color theme="1"/>
        <rFont val="Calibri"/>
        <family val="2"/>
      </rPr>
      <t xml:space="preserve">“$13  from Bakersfield to Southern California locations. . .” </t>
    </r>
    <r>
      <rPr>
        <sz val="7"/>
        <color theme="1"/>
        <rFont val="Calibri"/>
        <family val="2"/>
      </rPr>
      <t>See   2018 Business Plan: Ridership and Revenue Forecasting Technical Supporting Document, p. 2-6, [PDF 26]</t>
    </r>
  </si>
  <si>
    <t>See: Independent Determination That the Travel Time Requirements of PROP 1A/AB3034 Cannot Be Met, Paul S. Jones; March 13, 2015. Miles are from Bakersfield to destinations north of Bakersfield. The 10 miles between SFTBT and Oakland are not added as they are counted elsewhere.</t>
  </si>
  <si>
    <t>SJC-LAX</t>
  </si>
  <si>
    <t xml:space="preserve"> Travel to/from Los Angeles area (SCAG)  - because the LA Metro area, which includes Long Beach and Orange County (OC Gateway and Anaheim), is the largest in Calfironia, while the SF Bay Area, which includes Santa Clara County (San Jose and Gilroy) is the second largest.  Name of Origin and Destination and one-way HSR miles (differ from driving miles) between the stations. Note that HSR miles are often longer than driving miles</t>
  </si>
  <si>
    <r>
      <t>Note: Although Dedicated Authority Buses serve Van Nuys, West LA, and Santa Anita during  SV-CV Period (2029-2032) this is the only instance of such service making analysis of these Orgins and Destinations an anamoly and leading the Authors to substitute OC Gateway and Anaheim - the post-2032 - destinations as being more realistic. Also, Authority patrons on the two routes that are cheaper than driving (LA-Bakersfield and OC Gateway-Bakersfield) are not subsidized. The Authority dedicated bus over the Tehachapi range wil charge $13 and the Greyhound Bus on the route charges $12.  See:</t>
    </r>
    <r>
      <rPr>
        <sz val="7"/>
        <color rgb="FF0000FF"/>
        <rFont val="Calibri"/>
        <family val="2"/>
      </rPr>
      <t xml:space="preserve"> https://www.greyhound.com/en/ecommerce/schedule</t>
    </r>
  </si>
  <si>
    <t>Round-Trip Travel to/from the San Francisco Peninsula (MTC’s SF, San Mateo and Santa Clara counties – total population is ±3.5million) - because the region is California's second largest metro area and SF is CA's second most densely populated.  Also analyzed because the Authority claims revenue derived from HSR operating  to/from SJV during SV-CV Period.  All travelers to/from  the LA Basin uses a bus to cross the Tehachapi Mountains at Bakersfield- BFL</t>
  </si>
  <si>
    <r>
      <rPr>
        <b/>
        <sz val="7"/>
        <color theme="1"/>
        <rFont val="Calibri"/>
        <family val="2"/>
      </rPr>
      <t>There is no HSR service at Millbrae during SV-CV (2029-2030)</t>
    </r>
    <r>
      <rPr>
        <sz val="7"/>
        <color theme="1"/>
        <rFont val="Calibri"/>
        <family val="2"/>
      </rPr>
      <t xml:space="preserve">. Note that HSR miles are often longer than driving miles and that the HSR miles above are not the samae as the shorter HSR miles used to calculate formula based fares. Also note that the distances from origin to either Long Beach or San Diego are the total miles of an HSR traveler and not those used in calculating HSR travel times or fares. The differences are driving miles.     </t>
    </r>
  </si>
  <si>
    <r>
      <rPr>
        <i/>
        <sz val="6"/>
        <color theme="1"/>
        <rFont val="Calibri"/>
        <family val="2"/>
      </rPr>
      <t>"Unlike common carrier transportation modes (air, bus, or rail), the automobile does not require or depend on intermodal connections to get from the trip origin to the trip destination."</t>
    </r>
    <r>
      <rPr>
        <sz val="6"/>
        <color theme="1"/>
        <rFont val="Calibri"/>
        <family val="2"/>
      </rPr>
      <t xml:space="preserve"> See p. 3.2-25 [PDF 252] of Bay Area to Central Valley Final Program EIR/EIS, May, 2008. From San Francisco Transbay Terminal (SFTBT at 101 First St. SF), San Jose Diridon station (65 Cahill St. SJ), or Millbrae Caltrain Station or Gilroy Caltrain Station to Amtrak staton of each destination - or in the case of Long Beach to LAUS then the milage to Long Beach Transit Center. Found at:</t>
    </r>
    <r>
      <rPr>
        <sz val="6"/>
        <color indexed="12"/>
        <rFont val="Calibri"/>
        <family val="2"/>
      </rPr>
      <t xml:space="preserve"> </t>
    </r>
    <r>
      <rPr>
        <sz val="6"/>
        <color rgb="FF0000FF"/>
        <rFont val="Calibri"/>
        <family val="2"/>
      </rPr>
      <t xml:space="preserve">https://www.google.com/maps/ </t>
    </r>
    <r>
      <rPr>
        <sz val="6"/>
        <color indexed="18"/>
        <rFont val="Calibri"/>
        <family val="2"/>
      </rPr>
      <t xml:space="preserve">
 </t>
    </r>
  </si>
  <si>
    <r>
      <rPr>
        <i/>
        <sz val="6"/>
        <color theme="1"/>
        <rFont val="Calibri (Body)_x0000_"/>
      </rPr>
      <t>“With the exception of the automobile, intercity transportation options require multiple modes to complete a trip.” See: Volume 1 Bay Area to Central Valley HST Final Program EIR/EIS of 2008 [PDF 224] at:</t>
    </r>
    <r>
      <rPr>
        <i/>
        <sz val="6"/>
        <color rgb="FF0000FF"/>
        <rFont val="Calibri (Body)_x0000_"/>
      </rPr>
      <t xml:space="preserve"> http://www.hsr.ca.gov/Programs/Environmental_Planning/bay_area_2008.html</t>
    </r>
    <r>
      <rPr>
        <i/>
        <sz val="6"/>
        <color theme="1"/>
        <rFont val="Calibri (Body)_x0000_"/>
      </rPr>
      <t>. Also see: p. 3.2-25 [PDF 250] of that document. Only Auto travel does not require a modal change; therefore no access or egress times need be added to compute auto travel time.</t>
    </r>
  </si>
  <si>
    <t>San Francisco-Burbank (BUR)/460miles</t>
  </si>
  <si>
    <t>San Francisco-OC Gateway/480miles</t>
  </si>
  <si>
    <t>SV-CV Period: Transfer Times after HSR Ride (minutes) before Authority Dedicated Bus Ride over the Tehachapi Range</t>
  </si>
  <si>
    <r>
      <t xml:space="preserve">Below Table A.1.1 p. A-1, [PDF 61] of the 2018 Business Plan, Ridership and Revenue Forecasting, Technical Supporting Document says </t>
    </r>
    <r>
      <rPr>
        <i/>
        <sz val="6.5"/>
        <color theme="1"/>
        <rFont val="Calibri (Body)_x0000_"/>
      </rPr>
      <t>"HSR Bus Transfer Time  15"</t>
    </r>
  </si>
  <si>
    <r>
      <rPr>
        <sz val="6"/>
        <color theme="1"/>
        <rFont val="Calibri"/>
        <family val="2"/>
      </rPr>
      <t>The Metro Blue journey between Downtown Long Beach and Pershing Square (LAUS) takes 81minutes and costs $1.75. See</t>
    </r>
    <r>
      <rPr>
        <sz val="6"/>
        <color indexed="12"/>
        <rFont val="Calibri"/>
        <family val="2"/>
      </rPr>
      <t>:https://media.metro.net/documents/5a366ef8-2013-4d21-8e6d-e7716ec50478.pdf</t>
    </r>
  </si>
  <si>
    <t>SV-CV Period: Dedicated bus fare over the Tehachapi Range after HSR travel to Bakersfield (does not include access cost)</t>
  </si>
  <si>
    <r>
      <t xml:space="preserve"> LAUS-Long Beach Metro Blue Rail fare of $1.75 is added here because there is no HSR service between those stations.  Metrolink LAUS-OC Gateway takes 45minutes and costs $6.50 one way.  See:</t>
    </r>
    <r>
      <rPr>
        <sz val="6"/>
        <color rgb="FF0000FF"/>
        <rFont val="Calibri (Body)_x0000_"/>
      </rPr>
      <t xml:space="preserve"> https://www.metrolinktrains.com/ticketsOverview/ticket-info/price-finder/ </t>
    </r>
  </si>
  <si>
    <t>Only Bakersfield (BFL) to destination mileage is used for the computation as the San Diego-LAUS fares on Amtrak's Pacific Surfliner and the CHSRA's trans-Tehachapi Range bus costs are computed elsewhere. Formulas found on p. 2-5 [PDF 25] of 2018 Business Plan Ridership and Revenue Forecasts, Technical Supporting Document</t>
  </si>
  <si>
    <t>Based on mieage in Independent Determination That the Travel Time Requirements of PROP 1A/AB3034 Cannot Be Met, Paul S. Jones; March 13, 2015. All distances are from the MTC Origin to Bakersfield, as miles to cross the Tehachapi range to LA Basin Destinations are counted in the bus fares for that leg of the journey</t>
  </si>
  <si>
    <t xml:space="preserve">SJC-LGB </t>
  </si>
  <si>
    <t>San Francisco-Burbank (BUR)/                                  460miles</t>
  </si>
  <si>
    <t>SFO-BUR</t>
  </si>
  <si>
    <t>SFO-LAX</t>
  </si>
  <si>
    <r>
      <rPr>
        <sz val="7"/>
        <color theme="1"/>
        <rFont val="Calibri (Body)_x0000_"/>
      </rPr>
      <t xml:space="preserve">Note: Although Dedicated Authority Buses serve Van Nuys, West LA, and Santa Anita during  SV-CV Period (2029-2032) this is the only instance of such service making analysis of these Orgins and Destinations an anamoly and leading the Authors to substitute OC Gateway and Anaheim - the post-2032 - destinations as being more realistic. Also, Authority patrons on the two routes that are cheaper than driving (LA-Bakersfield and OC Gateway-Bakersfield) are not subsidized. The Authority dedicated bus over the Tehachapi range wil charge $13 and the Greyhound Bus on the route charges $12.  See: </t>
    </r>
    <r>
      <rPr>
        <sz val="7"/>
        <color rgb="FF0000FF"/>
        <rFont val="Calibri (Body)_x0000_"/>
      </rPr>
      <t>https://www.greyhound.com/en/ecommerce/schedule</t>
    </r>
  </si>
  <si>
    <t>Round-trip travel to/from the San Francisco Peninsula (MTC’s SF, San Mateo and Santa Clara counties (total population ±3.5million) during SV-CV Period - because the San Francisco Bay Area (MTC) is CA’s 2nd largest metro area, and SF City is CA's second most densely populated. Gilroy is also served by HSR and is part of the three Peninsula counties. Also analyzed because the Authority claims revenue derived from HSR operating  to/from SJV during SV-CV Period.  All travelers to/from  the LA Basin are required to use a CHSRA bus to cross the Tehachapi Mountains at Bakersfield.</t>
  </si>
  <si>
    <r>
      <rPr>
        <b/>
        <sz val="7"/>
        <color theme="1"/>
        <rFont val="Calibri"/>
        <family val="2"/>
      </rPr>
      <t xml:space="preserve"> Nor is there HSR service at Millbrae during SV-CV (2029-2030).  </t>
    </r>
    <r>
      <rPr>
        <sz val="7"/>
        <color theme="1"/>
        <rFont val="Calibri"/>
        <family val="2"/>
      </rPr>
      <t xml:space="preserve"> Note that HSR miles are often longer than driving miles and that the HSR miles above are not the samae as the shorter HSR miles used to calculate formula based fares. Also note that the distances from origin to either Long Beach or San Diego are the total miles of an HSR traveler and not those used in calculating HSR travel times or fares. The differences are driving miles.     </t>
    </r>
  </si>
  <si>
    <r>
      <rPr>
        <sz val="6"/>
        <color theme="1"/>
        <rFont val="Calibri"/>
        <family val="2"/>
      </rPr>
      <t>"Unlike common carrier transportation modes (air, bus, or rail), the automobile does not require or depend on intermodal connections to get from the trip origin to the trip destination." See p. 3.2-25 [PDF 252] of Bay Area to Central Valley Final Program EIR/EIS, May, 2008. From San Francisco Transbay Terminal (SFTBT at 101 First St. SF), San Jose Diridon station (65 Cahill St. SJ), or Millbrae Caltrain Station or Gilroy Caltrain Station to Amtrak staton of each destination - or in the case of Long Beach to LAUS then the milage to Long Beach Transit Center. Found at</t>
    </r>
    <r>
      <rPr>
        <sz val="6"/>
        <color indexed="18"/>
        <rFont val="Calibri"/>
        <family val="2"/>
      </rPr>
      <t>:</t>
    </r>
    <r>
      <rPr>
        <sz val="6"/>
        <color rgb="FF0000FF"/>
        <rFont val="Calibri"/>
        <family val="2"/>
      </rPr>
      <t xml:space="preserve"> https://www.google.com/maps/ </t>
    </r>
    <r>
      <rPr>
        <sz val="6"/>
        <color indexed="18"/>
        <rFont val="Calibri"/>
        <family val="2"/>
      </rPr>
      <t xml:space="preserve">
 </t>
    </r>
  </si>
  <si>
    <r>
      <rPr>
        <i/>
        <sz val="6"/>
        <color theme="1"/>
        <rFont val="Calibri"/>
        <family val="2"/>
      </rPr>
      <t xml:space="preserve"> “With the exception of the automobile, intercity transportation options require multiple modes to complete a trip." </t>
    </r>
    <r>
      <rPr>
        <sz val="6"/>
        <color theme="1"/>
        <rFont val="Calibri"/>
        <family val="2"/>
      </rPr>
      <t>See: Volume 1 Bay Area to Central Valley HST Final Program EIR/EIS of 2008 [PDF 224] at</t>
    </r>
    <r>
      <rPr>
        <sz val="6"/>
        <color indexed="18"/>
        <rFont val="Calibri"/>
        <family val="2"/>
      </rPr>
      <t xml:space="preserve">: </t>
    </r>
    <r>
      <rPr>
        <sz val="6"/>
        <color indexed="12"/>
        <rFont val="Calibri"/>
        <family val="2"/>
      </rPr>
      <t>http://www.hsr.ca.gov/Programs/Environmental_Planning/bay_area_2008.html.</t>
    </r>
    <r>
      <rPr>
        <sz val="6"/>
        <color theme="1"/>
        <rFont val="Calibri"/>
        <family val="2"/>
      </rPr>
      <t xml:space="preserve"> Also see  p. 3.2-25 [PDF 250] of that document. Only Auto travel does not require a modal change; therefore no access or egress times need be added to compute auto travel time.</t>
    </r>
  </si>
  <si>
    <r>
      <rPr>
        <sz val="6"/>
        <color theme="1"/>
        <rFont val="Calibri"/>
        <family val="2"/>
      </rPr>
      <t>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 Americans lose 0%-30% of their daily commute on road traffic delays. See</t>
    </r>
    <r>
      <rPr>
        <sz val="6"/>
        <color rgb="FF0000FF"/>
        <rFont val="Calibri"/>
        <family val="2"/>
      </rPr>
      <t xml:space="preserve">: </t>
    </r>
    <r>
      <rPr>
        <sz val="6"/>
        <color indexed="12"/>
        <rFont val="Calibri"/>
        <family val="2"/>
      </rPr>
      <t>http://abcnews.go.com/US/time-americans-waste-traffic/story?id=33313765</t>
    </r>
    <r>
      <rPr>
        <sz val="6"/>
        <color rgb="FF0000FF"/>
        <rFont val="Calibri"/>
        <family val="2"/>
      </rPr>
      <t xml:space="preserve"> </t>
    </r>
    <r>
      <rPr>
        <sz val="6"/>
        <color indexed="18"/>
        <rFont val="Calibri"/>
        <family val="2"/>
      </rPr>
      <t xml:space="preserve">
"""</t>
    </r>
  </si>
  <si>
    <t>SV-CV Period:   Transfer Time prior to taking HSR - does not include access time (minutes)</t>
  </si>
  <si>
    <t>SFTBT is not connected to BART. Oakland-Oringinated HSR patrons take BART (12minutes) then must walk 4 blocks from the Embarcadero BART station (estimated to take 10 minutes) then wait 15minutes to board HSR.  The 12th St. Oakland Center to Embarcadero BART Period takes 12minutes and costs $3.45. Found at: http://www.bart.gov/tickets/calculator</t>
  </si>
  <si>
    <r>
      <t xml:space="preserve">Below Table A.1.1 p. A-1, [PDF 61] of the 2018 Business Plan, Ridership and Revenue Forecasting, Technical Supporting Document says </t>
    </r>
    <r>
      <rPr>
        <i/>
        <sz val="6"/>
        <color theme="1"/>
        <rFont val="Calibri (Body)_x0000_"/>
      </rPr>
      <t>"HSR Bus Transfer Time  15"</t>
    </r>
  </si>
  <si>
    <t>SV-CV Period: BART fare for Oakland-SFTBT  before HSR travel begins (does not include access cost)</t>
  </si>
  <si>
    <t>SV-CV Period:      HSR fares from SF Bay Area (MTC) origin only to Bakersfield where patrons board an Authority Dedicated Bus.</t>
  </si>
  <si>
    <r>
      <rPr>
        <sz val="6"/>
        <color theme="1"/>
        <rFont val="Calibri"/>
        <family val="2"/>
      </rPr>
      <t>The 12th St. Oakland Center to Embarcadero BART Period takes 12minutes and costs $3.45. Found at</t>
    </r>
    <r>
      <rPr>
        <sz val="6"/>
        <color indexed="18"/>
        <rFont val="Calibri"/>
        <family val="2"/>
      </rPr>
      <t>:</t>
    </r>
    <r>
      <rPr>
        <sz val="6"/>
        <color rgb="FF0000FF"/>
        <rFont val="Calibri"/>
        <family val="2"/>
      </rPr>
      <t xml:space="preserve"> http://www.bart.gov/tickets/calculato</t>
    </r>
    <r>
      <rPr>
        <sz val="6"/>
        <color indexed="18"/>
        <rFont val="Calibri"/>
        <family val="2"/>
      </rPr>
      <t>r</t>
    </r>
    <r>
      <rPr>
        <sz val="6"/>
        <color theme="1"/>
        <rFont val="Calibri"/>
        <family val="2"/>
      </rPr>
      <t>. There are no prior-to-HSR-travel in these calculations</t>
    </r>
  </si>
  <si>
    <r>
      <rPr>
        <i/>
        <sz val="6"/>
        <color theme="1"/>
        <rFont val="Calibri"/>
        <family val="2"/>
      </rPr>
      <t>“$13  from Bakersfield to Southern California locations. . .”</t>
    </r>
    <r>
      <rPr>
        <sz val="6"/>
        <color theme="1"/>
        <rFont val="Calibri"/>
        <family val="2"/>
      </rPr>
      <t xml:space="preserve"> See   2018 Business Plan: Technical Supporting Documents, p. 2-6  [PDF 26]</t>
    </r>
  </si>
  <si>
    <r>
      <rPr>
        <sz val="6"/>
        <color theme="1"/>
        <rFont val="Verdana"/>
        <family val="2"/>
      </rPr>
      <t>See Independent Determination That the Travel Time Requirements of PROP 1A/AB3034 Cannot Be Met</t>
    </r>
    <r>
      <rPr>
        <u/>
        <sz val="6"/>
        <color theme="1"/>
        <rFont val="Verdana"/>
        <family val="2"/>
      </rPr>
      <t>,</t>
    </r>
    <r>
      <rPr>
        <sz val="6"/>
        <color theme="1"/>
        <rFont val="Verdana"/>
        <family val="2"/>
      </rPr>
      <t xml:space="preserve"> Paul S. Jones; March 13, 2015. Mileage for destinations south of Bakersfield only count going to Bakersfield as the Authority's Tehachapi-crossing bus takes passengers southward to SCAG destinations. Oakland's extra 10miles are also counted elsewhere</t>
    </r>
  </si>
  <si>
    <t>SFO-LGB</t>
  </si>
  <si>
    <t>SJC-SAN</t>
  </si>
  <si>
    <t>OAK-SAN</t>
  </si>
  <si>
    <t xml:space="preserve">Round-Trip Travel to/from San Francisco's East Bay (MTC's Alameda and Contra Costa counties-total pop. is ±2.9million) during SV-CV Period, because BART's extension to San Jose makes Oakland accessible two Bay Area HSR stations. The MTC ridership/revenue claim is assumed to include Oakland, but a test of HSR travel's competitiveness indicated different outcomes than only assuming travel from the San Francisco Peninsula.  All travelers to/from  the LA Metro Area use an Authority Dedicated Bus to cross the Tehachapi Mountains at Bakersfield. </t>
  </si>
  <si>
    <r>
      <rPr>
        <i/>
        <sz val="7"/>
        <color theme="1"/>
        <rFont val="Calibri"/>
        <family val="2"/>
      </rPr>
      <t>"Unlike common carrier transportation modes (air, bus, or rail), the automobile does not require or depend on intermodal connections to get from the trip origin to the trip destinatio</t>
    </r>
    <r>
      <rPr>
        <sz val="7"/>
        <color theme="1"/>
        <rFont val="Calibri"/>
        <family val="2"/>
      </rPr>
      <t>n." See p. 3.2-25 [PDF 252] of Bay Area to Central Valley Final Program EIR/EIS, May, 2008. Driving distances and times are measured from Oakland's 12th St. City Center BART station, to Sacramento or San Joaquin Valley destinaton cities' Amtrak stations.  All found at</t>
    </r>
    <r>
      <rPr>
        <sz val="7"/>
        <color indexed="18"/>
        <rFont val="Calibri"/>
        <family val="2"/>
      </rPr>
      <t>:</t>
    </r>
    <r>
      <rPr>
        <sz val="7"/>
        <color indexed="12"/>
        <rFont val="Calibri"/>
        <family val="2"/>
      </rPr>
      <t xml:space="preserve"> https://www.google.com/maps/</t>
    </r>
  </si>
  <si>
    <r>
      <rPr>
        <i/>
        <sz val="6"/>
        <color theme="1"/>
        <rFont val="Calibri"/>
        <family val="2"/>
      </rPr>
      <t>With the exception of the automobile, intercity transportation options require multiple modes to complete a trip.”</t>
    </r>
    <r>
      <rPr>
        <sz val="6"/>
        <color theme="1"/>
        <rFont val="Calibri"/>
        <family val="2"/>
      </rPr>
      <t xml:space="preserve"> _x000B_See: Volume 1 Bay Area to Central Valley HST Final Program EIR/EIS of 2008 [PDF 224] at:</t>
    </r>
    <r>
      <rPr>
        <sz val="6"/>
        <color indexed="12"/>
        <rFont val="Calibri"/>
        <family val="2"/>
      </rPr>
      <t xml:space="preserve"> http://www.hsr.ca.gov/Programs/Environmental_Planning/bay_area_2008.html.</t>
    </r>
    <r>
      <rPr>
        <sz val="6"/>
        <color indexed="18"/>
        <rFont val="Calibri"/>
        <family val="2"/>
      </rPr>
      <t xml:space="preserve"> </t>
    </r>
    <r>
      <rPr>
        <sz val="6"/>
        <color theme="1"/>
        <rFont val="Calibri"/>
        <family val="2"/>
      </rPr>
      <t xml:space="preserve"> Also see  p. 3.2-25 [PDF 250] of that document.  Only Auto travel does not require a modal change; therefore no access or egress times need be added to compute auto travel time.</t>
    </r>
  </si>
  <si>
    <r>
      <rPr>
        <sz val="6"/>
        <color theme="1"/>
        <rFont val="Calibri"/>
        <family val="2"/>
      </rPr>
      <t>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 Americans lose 0%-30% of their daily commute on road traffic delays. See</t>
    </r>
    <r>
      <rPr>
        <sz val="6"/>
        <color indexed="18"/>
        <rFont val="Calibri"/>
        <family val="2"/>
      </rPr>
      <t xml:space="preserve">: </t>
    </r>
    <r>
      <rPr>
        <sz val="6"/>
        <color indexed="12"/>
        <rFont val="Calibri"/>
        <family val="2"/>
      </rPr>
      <t>http://abcnews.go.com/US/time-americans-waste-traffic/story?id=3331376</t>
    </r>
    <r>
      <rPr>
        <sz val="6"/>
        <color indexed="18"/>
        <rFont val="Calibri"/>
        <family val="2"/>
      </rPr>
      <t>5 
"""</t>
    </r>
  </si>
  <si>
    <t xml:space="preserve">For 23¢/mile, see Table 3.3, p.3-4  [PDF 32] of CA High-Speed Rail FINAL 2018 Business Plan, Ridership and Revenue Forecasting: Technical Supporting Document (June 2018)
</t>
  </si>
  <si>
    <t xml:space="preserve">SV-CV Period:  Transfer Times piror to HSR travel. Does not include access to HSR station times (minutes) </t>
  </si>
  <si>
    <t>SV-CV Period:          Access to SFTBT HSR station from BART and pre-HSR transportation Transfer Time (15minutes): does not include access to HSR station times (minutes)</t>
  </si>
  <si>
    <t>Since BART Embarcadero is four blocks from SFTBT, to board HSR requires a 10minute walk and a 15minute Transfer Time in the terminal</t>
  </si>
  <si>
    <r>
      <t>Below Table A.1.1 p. A-1, [PDF 61] of the 2018 Business Plan, Ridership and Revenue Forecasting, Technical Supporting Document says</t>
    </r>
    <r>
      <rPr>
        <i/>
        <sz val="6"/>
        <color theme="1"/>
        <rFont val="Calibri"/>
        <family val="2"/>
      </rPr>
      <t xml:space="preserve"> "HSR Bus Transfer Time  15"</t>
    </r>
    <r>
      <rPr>
        <sz val="6"/>
        <color theme="1"/>
        <rFont val="Calibri"/>
        <family val="2"/>
      </rPr>
      <t xml:space="preserve">
</t>
    </r>
  </si>
  <si>
    <r>
      <rPr>
        <sz val="7"/>
        <color theme="1"/>
        <rFont val="Calibri"/>
        <family val="2"/>
      </rPr>
      <t>Metrolink fro</t>
    </r>
    <r>
      <rPr>
        <sz val="6"/>
        <color theme="1"/>
        <rFont val="Calibri"/>
        <family val="2"/>
      </rPr>
      <t>m LAUS to Norwalk takes 28minutes: LAUS-Anaheim takes 45minutes. See:</t>
    </r>
    <r>
      <rPr>
        <sz val="6"/>
        <color indexed="18"/>
        <rFont val="Calibri"/>
        <family val="2"/>
      </rPr>
      <t xml:space="preserve"> </t>
    </r>
    <r>
      <rPr>
        <sz val="6"/>
        <color rgb="FF0000FF"/>
        <rFont val="Calibri"/>
        <family val="2"/>
      </rPr>
      <t xml:space="preserve">https://www.metrolinktrains.com/schedules/?type=station&amp;originId=81&amp;destinationId=131&amp;weekend=0 </t>
    </r>
  </si>
  <si>
    <r>
      <t xml:space="preserve">The one-way Metrolink LAUS-OC Gateway fare is $6.50 and LAUS-Anaheim is $8.75. See: </t>
    </r>
    <r>
      <rPr>
        <sz val="6"/>
        <color rgb="FF0000FF"/>
        <rFont val="Calibri"/>
        <family val="2"/>
      </rPr>
      <t xml:space="preserve">https://www.metrolinktrains.com/schedules/?type=station&amp;originId=81&amp;destinationId=131&amp;weekend=0 </t>
    </r>
  </si>
  <si>
    <r>
      <t>Based on miles used in</t>
    </r>
    <r>
      <rPr>
        <u/>
        <sz val="6"/>
        <color indexed="18"/>
        <rFont val="Verdana"/>
        <family val="2"/>
      </rPr>
      <t xml:space="preserve"> </t>
    </r>
    <r>
      <rPr>
        <sz val="6"/>
        <color theme="1"/>
        <rFont val="Verdana"/>
        <family val="2"/>
      </rPr>
      <t>Independent Determination That the Travel Time Requirements of PROP 1A/AB3034 Cannot Be Met</t>
    </r>
    <r>
      <rPr>
        <sz val="6"/>
        <color indexed="18"/>
        <rFont val="Verdana"/>
        <family val="2"/>
      </rPr>
      <t xml:space="preserve">, </t>
    </r>
    <r>
      <rPr>
        <sz val="6"/>
        <color theme="1"/>
        <rFont val="Verdana"/>
        <family val="2"/>
      </rPr>
      <t>Paul S. Jones; March 13, 2015. All Oakland originated travel is from SFTBT to destination distances as the Oakland-SFTBT fare is counted elsewhere.</t>
    </r>
  </si>
  <si>
    <r>
      <rPr>
        <sz val="6"/>
        <color theme="1"/>
        <rFont val="Calibri Body"/>
      </rPr>
      <t xml:space="preserve">Only Bakersfield (BFL) to destination mileage is used for the computation as the San Diego-LAUS fares on Amtrak's Pacific Surfliner and the trans-Tehachapi Range costs are computed elsewhere. Formulas found on p. 2-5 {PDF 25] of 2018 Business Plan Ridership and Revenue Forecasts, Technical Supporting Document
</t>
    </r>
    <r>
      <rPr>
        <sz val="6"/>
        <color indexed="18"/>
        <rFont val="Calibri Body"/>
      </rPr>
      <t xml:space="preserve">
t
</t>
    </r>
  </si>
  <si>
    <t xml:space="preserve">Calculation is =  (2*flight times) + 98minutes (2*49) of access+egress for outbound trip AND 98minutes (2*49) for return trip + (2*45minutes) extra time for security at the Origin and Destination airports
</t>
  </si>
  <si>
    <r>
      <t>Sacramento-Los Angeles</t>
    </r>
    <r>
      <rPr>
        <b/>
        <sz val="7"/>
        <color indexed="8"/>
        <rFont val="Calibri"/>
        <family val="2"/>
      </rPr>
      <t>/440miles</t>
    </r>
  </si>
  <si>
    <t>Round-Trip Travel to/from Sacramento during SV-CV Period because the Sacramento area (SACOG)  is the 5th most populated and Sacramento the 5th most densely populated city in CA and because the Authority claims revenues derived from HSR operations to Non-Adjacent Regions (SCAG and SANDAG) during SV-CV Period.  All travelers to/from  the LA Basin uses a bus to cross the Tehachapi Mountains at Bakersfield- BFL</t>
  </si>
  <si>
    <t>SV-CV Period:  Transfer Times between Authority Bus and HSR in Madera - where patrons board the Authority's HSR train bound for SJV stops until Bakersfield or westward</t>
  </si>
  <si>
    <t>Transfer time for Metrolink at LAUS to OC Gateway (Santa Fe Springs/Norwalk) and Anaheim is 15minutes.Transfer time for Amtrak's Pacific SurfPeriodr to/from San Diego is 30minutes as that train only runs hourly</t>
  </si>
  <si>
    <r>
      <rPr>
        <sz val="6"/>
        <color theme="1"/>
        <rFont val="Calibri"/>
        <family val="2"/>
      </rPr>
      <t>Run time for Metrolink, LAUS-OC Gateway is 34minutes, LAUS-Anaheim is 48minutes. See:</t>
    </r>
    <r>
      <rPr>
        <sz val="6"/>
        <color indexed="18"/>
        <rFont val="Calibri"/>
        <family val="2"/>
      </rPr>
      <t xml:space="preserve"> </t>
    </r>
    <r>
      <rPr>
        <sz val="6"/>
        <color rgb="FF0000FF"/>
        <rFont val="Calibri"/>
        <family val="2"/>
      </rPr>
      <t>https://www.metrolinktrains.com/schedules/?type=station&amp;originId=81&amp;destinationId=131&amp;weekend=0</t>
    </r>
    <r>
      <rPr>
        <sz val="6"/>
        <color indexed="18"/>
        <rFont val="Calibri"/>
        <family val="2"/>
      </rPr>
      <t xml:space="preserve">. </t>
    </r>
    <r>
      <rPr>
        <sz val="6"/>
        <color theme="1"/>
        <rFont val="Calibri"/>
        <family val="2"/>
      </rPr>
      <t>The LAUS-San Diego Amtrak Pacific SurfPeriodr ride costs $36.50 and takes 170minutes</t>
    </r>
  </si>
  <si>
    <t xml:space="preserve"> Metrolink LAUS-Anaheim fare is $8.75. The LAUS-San Diego Amtrak Pacific SurfPeriodr takes 170minutes. The fare ($36.50) is from Amtrak's fare schedule. See: https://tickets.amtrak.com/itd/amtrak</t>
  </si>
  <si>
    <r>
      <rPr>
        <i/>
        <sz val="6"/>
        <color theme="1"/>
        <rFont val="Calibri"/>
        <family val="2"/>
      </rPr>
      <t>“$10 from Sacramento, Lodi and Elk Grove to Madera. . .”</t>
    </r>
    <r>
      <rPr>
        <sz val="6"/>
        <color theme="1"/>
        <rFont val="Calibri"/>
        <family val="2"/>
      </rPr>
      <t xml:space="preserve"> See   2018 Business Plan: Technical Supporting Documents, p. 2-6  [PDF 26]</t>
    </r>
  </si>
  <si>
    <t xml:space="preserve">The source of $23 is the average for round-trip  access and egress costs is derived from: “As with air travel, both an access fee and an egress fee ranging from $15 to $31 round trip are part of the HST average total costs.” found on p. 3-2-30 [PDF 261] Bay Area to Central Valley HST Final Program EIR/EIS, Volume 1: Report, May 2008; prepared by the US Dept. of Transportation/Federal Railroad Administration and the California High-Speed Rail Authority.  Note: We assumed that this $23 includes parking as well as driving costs, or the costs of public conveyance to and from the Origin and Destination HSR stations
</t>
  </si>
  <si>
    <r>
      <t>Sacramento-Los Angeles</t>
    </r>
    <r>
      <rPr>
        <b/>
        <sz val="7"/>
        <color indexed="8"/>
        <rFont val="Calibri"/>
        <family val="2"/>
      </rPr>
      <t>/                                                  440miles</t>
    </r>
  </si>
  <si>
    <t xml:space="preserve">Name of Origin and Destination and one-way HSR miles between the stations. Note that HSR miles are often longer than driving miles and that the HSR miles above are not the same as the shorter HSR miles used to calculate formula based fares     </t>
  </si>
  <si>
    <t>Round-Trip Travel to/from San Diego County during SV-CV Period because SANDAG the 3rd most densely populated metro area in CA and because the Authority claims revenues derived from HSR operations to Non-Adjacent Regions (MTC, SJV and SACOG) during SV-CV Period.  All travelers to/from  the LA Basin uses a bus to cross the Tehachapi Mountains at Bakersfield- BFL</t>
  </si>
  <si>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All miles and times are measured from Sacramento Valley Station (401 I St.) to the Amtrak or proposed HSR station at each destination except for Burbank where HSR stops at the airport (BUR) and Palmdale (no HSR service during SV-CV Period). All found at</t>
    </r>
    <r>
      <rPr>
        <sz val="7"/>
        <color indexed="18"/>
        <rFont val="Calibri"/>
        <family val="2"/>
      </rPr>
      <t xml:space="preserve">: </t>
    </r>
    <r>
      <rPr>
        <sz val="7"/>
        <color indexed="12"/>
        <rFont val="Calibri"/>
        <family val="2"/>
      </rPr>
      <t xml:space="preserve">https://www.google.com/maps/ </t>
    </r>
  </si>
  <si>
    <r>
      <rPr>
        <i/>
        <sz val="7"/>
        <color theme="1"/>
        <rFont val="Calibri Body"/>
      </rPr>
      <t xml:space="preserve">Unlike common carrier transportation modes (air, bus, or rail), the automobile does not require or depend on intermodal connections to get from the trip origin to the trip destination." </t>
    </r>
    <r>
      <rPr>
        <sz val="7"/>
        <color theme="1"/>
        <rFont val="Calibri Body"/>
      </rPr>
      <t>See p. 3.2-25 [PDF 252] of Bay Area to Central Valley Final Program EIR/EIS, May, 2008. All driving miles and times are measured from San Diego's Santa Fe Station (1050 Ketner Blvd) to Amtrak station at each destination. All found at</t>
    </r>
    <r>
      <rPr>
        <sz val="7"/>
        <color indexed="12"/>
        <rFont val="Calibri Body"/>
      </rPr>
      <t>:https://www.google.com/maps/</t>
    </r>
    <r>
      <rPr>
        <sz val="7"/>
        <color indexed="18"/>
        <rFont val="Calibri Body"/>
      </rPr>
      <t xml:space="preserve"> </t>
    </r>
    <r>
      <rPr>
        <sz val="7"/>
        <color theme="1"/>
        <rFont val="Calibri Body"/>
      </rPr>
      <t>HSR miles are the actual miles a HSR passenger travels between stations</t>
    </r>
  </si>
  <si>
    <t>SV-CV Period:                     One-way Distances in driving miles from City of San Diego ( representing SANDAG) Origin to designated Destination</t>
  </si>
  <si>
    <t>SV-CV Period: Transfer Time for HSR connection at San Diego to go to Los Angeles Union Station - does not include access time in San Diego (minutes)</t>
  </si>
  <si>
    <r>
      <rPr>
        <sz val="6"/>
        <color theme="1"/>
        <rFont val="Calibri Body"/>
      </rPr>
      <t>Pacific Surfliner Train #173's Run Time San Diego-LAUS is 170minutes. See</t>
    </r>
    <r>
      <rPr>
        <sz val="6"/>
        <color indexed="18"/>
        <rFont val="Calibri Body"/>
      </rPr>
      <t xml:space="preserve">: </t>
    </r>
    <r>
      <rPr>
        <sz val="6"/>
        <color rgb="FF0000FF"/>
        <rFont val="Calibri Body"/>
      </rPr>
      <t>https://tickets.amtrak.com/itd/amtrak</t>
    </r>
  </si>
  <si>
    <r>
      <rPr>
        <sz val="6"/>
        <color theme="1"/>
        <rFont val="Calibri Body"/>
      </rPr>
      <t>Amtrak's Pacific Surfliner runs hourly, therefore a minimum of a 30minute wait. See:</t>
    </r>
    <r>
      <rPr>
        <sz val="6"/>
        <color rgb="FF0000FF"/>
        <rFont val="Calibri Body"/>
      </rPr>
      <t xml:space="preserve"> https://tickets.amtrak.com/itd/amtrak</t>
    </r>
  </si>
  <si>
    <r>
      <t>San Diego-Sacramento</t>
    </r>
    <r>
      <rPr>
        <b/>
        <sz val="7"/>
        <color indexed="8"/>
        <rFont val="Calibri"/>
        <family val="2"/>
      </rPr>
      <t>/563miles</t>
    </r>
  </si>
  <si>
    <r>
      <t>San Diego-Sacramento</t>
    </r>
    <r>
      <rPr>
        <b/>
        <sz val="7"/>
        <color indexed="8"/>
        <rFont val="Calibri"/>
        <family val="2"/>
      </rPr>
      <t>/                                                              563miles</t>
    </r>
  </si>
  <si>
    <t>SV-CV Period:  Amtrak Pacific Surfliner's fare San Diego-LAUS before HSR travel (does not include access or egress costs)</t>
  </si>
  <si>
    <t>SV-CV Period: Travel time by Authority bus after HSR travel from Merced to Sacramento + 15minute Transfer Time</t>
  </si>
  <si>
    <t>See Table A.1.1, p. A-1, [PDF 61] of the 2018 Ridership and Revenue Forcasting, Technical Supporting Document</t>
  </si>
  <si>
    <r>
      <t xml:space="preserve"> The LAUS-San Diego Amtrak Pacific Surfliner takes 170minutes. The late 2018 fare ($35.65) is from Amtrak's fare schedule. See:</t>
    </r>
    <r>
      <rPr>
        <sz val="6"/>
        <color rgb="FF0000FF"/>
        <rFont val="Calibri"/>
        <family val="2"/>
      </rPr>
      <t xml:space="preserve"> https://tickets.amtrak.com/itd/amtrak</t>
    </r>
  </si>
  <si>
    <r>
      <rPr>
        <i/>
        <sz val="6"/>
        <color theme="1"/>
        <rFont val="Calibri"/>
        <family val="2"/>
      </rPr>
      <t>"$10 from Sacramento, Elk Grove, and Lodi to Madera.”</t>
    </r>
    <r>
      <rPr>
        <sz val="6"/>
        <color theme="1"/>
        <rFont val="Calibri"/>
        <family val="2"/>
      </rPr>
      <t xml:space="preserve"> See: 2018 Business Plan: Technical Supporting Documents, p. 2-6  [PDF 26]. For late 2018 Amtrak fares see:</t>
    </r>
    <r>
      <rPr>
        <sz val="6"/>
        <color indexed="18"/>
        <rFont val="Calibri"/>
        <family val="2"/>
      </rPr>
      <t xml:space="preserve"> </t>
    </r>
    <r>
      <rPr>
        <sz val="6"/>
        <color rgb="FF0000FF"/>
        <rFont val="Calibri"/>
        <family val="2"/>
      </rPr>
      <t>https://tickets.amtrak.com/itd/amtrak</t>
    </r>
  </si>
  <si>
    <r>
      <t>Miles are Bakersfield to KT Hanford, to Fresno, and Madera. The Bakersfield-Madera miles are from</t>
    </r>
    <r>
      <rPr>
        <u/>
        <sz val="6"/>
        <color theme="1"/>
        <rFont val="Calibri"/>
        <family val="2"/>
        <scheme val="minor"/>
      </rPr>
      <t xml:space="preserve"> </t>
    </r>
    <r>
      <rPr>
        <sz val="6"/>
        <color theme="1"/>
        <rFont val="Calibri"/>
        <family val="2"/>
        <scheme val="minor"/>
      </rPr>
      <t xml:space="preserve">Independent Determination That the Travel Time Requirements of PROP 1A/AB3034 Cannot Be Met, Paul S. Jones; March 13, 2015.  LAUS-San Diego fares are counted elsewhere. </t>
    </r>
  </si>
  <si>
    <t xml:space="preserve">Only Bakersfield to destination mileage is used for the computation as the San Diego-LAUS fares on Amtrak's Pacific Surfliner and the trans-Tehachapi Range costs are computed elsewhere. Formulas found on p. 2-5 {PDF 25] of 2018 Business Plan Ridership and Revenue Forecasts, Technical Supporting Document
</t>
  </si>
  <si>
    <r>
      <t>San Diego-San Francisco</t>
    </r>
    <r>
      <rPr>
        <b/>
        <sz val="7"/>
        <rFont val="Calibri"/>
        <family val="2"/>
      </rPr>
      <t>/598miles</t>
    </r>
  </si>
  <si>
    <r>
      <rPr>
        <i/>
        <sz val="6"/>
        <color theme="1"/>
        <rFont val="Calibri"/>
        <family val="2"/>
      </rPr>
      <t>$1 from Stockton/Modesto/Denair/Merced/Madera/Fresno Amtrak to Madera.”</t>
    </r>
    <r>
      <rPr>
        <sz val="6"/>
        <color theme="1"/>
        <rFont val="Calibri"/>
        <family val="2"/>
      </rPr>
      <t xml:space="preserve"> See   2018 Business Plan: Technical Supporting Documents, p. 2-6  [PDF 26]</t>
    </r>
  </si>
  <si>
    <r>
      <t>Miles are northward from Bakersfield to Madera, Gilroy and San Francisco. The Bakersfield-Madera miles are from</t>
    </r>
    <r>
      <rPr>
        <u/>
        <sz val="6"/>
        <color theme="1"/>
        <rFont val="Calibri"/>
        <family val="2"/>
        <scheme val="minor"/>
      </rPr>
      <t xml:space="preserve"> </t>
    </r>
    <r>
      <rPr>
        <sz val="6"/>
        <color theme="1"/>
        <rFont val="Calibri"/>
        <family val="2"/>
        <scheme val="minor"/>
      </rPr>
      <t xml:space="preserve">Independent Determination That the Travel Time Requirements of PROP 1A/AB3034 Cannot Be Met, Paul S. Jones; March 13, 2015.  LAUS-San Diego fares are counted elsewhere. </t>
    </r>
  </si>
  <si>
    <t xml:space="preserve">Note: between 2029 and 2040, there is no Authority HSR or Bus service available to/from San Diego County.  All travelers using any Authority route must take Amtrak's Pacific Surfiner - about a 3hour journey to LAUS charging a ±$36 fare.  </t>
  </si>
  <si>
    <t>SV-CV Period: Travel time by Authority bus to Destinations after HSR travel + 15minutes of Transfer Time from HSR train to bus</t>
  </si>
  <si>
    <r>
      <rPr>
        <i/>
        <sz val="6"/>
        <color theme="1"/>
        <rFont val="Calibri"/>
        <family val="2"/>
      </rPr>
      <t>$1 from Stockton/Modesto/Denair/Merced/Madera/Fresno Amtrak to Madera.”</t>
    </r>
    <r>
      <rPr>
        <sz val="6"/>
        <color theme="1"/>
        <rFont val="Calibri"/>
        <family val="2"/>
      </rPr>
      <t xml:space="preserve"> See   2018 Business Plan: Technical Supporting Documents, p. 2-6  [PDF 26].  </t>
    </r>
    <r>
      <rPr>
        <b/>
        <sz val="6"/>
        <color theme="1"/>
        <rFont val="Calibri"/>
        <family val="2"/>
      </rPr>
      <t xml:space="preserve">Note: These routes are deeply subsidized: </t>
    </r>
    <r>
      <rPr>
        <sz val="6"/>
        <color theme="1"/>
        <rFont val="Calibri"/>
        <family val="2"/>
      </rPr>
      <t>The lowest one-week advance purchase Greyhound fares from Madera are : Turlock = $18, Modesto = $22, Stockton = $21, Lodi = $23. See:</t>
    </r>
    <r>
      <rPr>
        <sz val="6"/>
        <color indexed="18"/>
        <rFont val="Calibri"/>
        <family val="2"/>
      </rPr>
      <t xml:space="preserve">  </t>
    </r>
    <r>
      <rPr>
        <sz val="6"/>
        <color rgb="FF0000FF"/>
        <rFont val="Calibri"/>
        <family val="2"/>
      </rPr>
      <t>https://www.greyhound.com/en/ecommerce/schedule</t>
    </r>
  </si>
  <si>
    <t xml:space="preserve">Miles are Madera-northward Bakersfield only to Madera. See: Independent Determination That the Travel Time Requirements of PROP 1A/AB3034 Cannot Be Met, Paul S. Jones; March 13, 2015.  </t>
  </si>
  <si>
    <t>Monterey-San Francisco/169miles</t>
  </si>
  <si>
    <t>Monterey-Fresno/225miles</t>
  </si>
  <si>
    <t>Monterey-Sacramento/396miles</t>
  </si>
  <si>
    <t>Monterey-Los Angeles/492miles</t>
  </si>
  <si>
    <t>Monterey-San Diego/612miles</t>
  </si>
  <si>
    <t>Santa Barbara-Los Angeles/95miles</t>
  </si>
  <si>
    <t>Santa Barbara-Monterey/95miles</t>
  </si>
  <si>
    <t>Santa Barbara-San Diego/219miles</t>
  </si>
  <si>
    <t>Santa Barbara-Fresno/366miles</t>
  </si>
  <si>
    <t>Santa Barbara-Sacramento/538</t>
  </si>
  <si>
    <t>Monterey-San Jose-Madera-Sacramento-South Lake Tahoe/499miles</t>
  </si>
  <si>
    <t>Monterey-San Jose-Madera-Sacramento-Redding/556miles</t>
  </si>
  <si>
    <t>Monterey-San Jose-Bakersfield-Los Angeles-Santa Barbara/585miles</t>
  </si>
  <si>
    <t>Sta.Barbara-Los Angeles-Bakerfield-Madera-Sacramento-South Lake Tahoe/638miles</t>
  </si>
  <si>
    <t>Santa Barbara-Los Angeles-Bakersfield-Madera-Sacramento-Redding/695miles</t>
  </si>
  <si>
    <r>
      <rPr>
        <sz val="8"/>
        <color theme="1"/>
        <rFont val="Calibri"/>
        <family val="2"/>
      </rPr>
      <t xml:space="preserve"> Travel to/from Monterey, defined as one of the "Other Regions" in Table 3.2-12 on p. 3.2-25 of Volume 1, Bay Area to Central Valley Program EIR/EIS of 2008 [PDF 252] found at</t>
    </r>
    <r>
      <rPr>
        <sz val="8"/>
        <rFont val="Calibri"/>
        <family val="2"/>
      </rPr>
      <t>:</t>
    </r>
    <r>
      <rPr>
        <sz val="8"/>
        <color indexed="12"/>
        <rFont val="Calibri"/>
        <family val="2"/>
      </rPr>
      <t xml:space="preserve"> http://www.hsr.ca.gov/docs/programs/bay_area_eir/BayCValley08_EIR_finalHST_vol1.pdf. </t>
    </r>
    <r>
      <rPr>
        <sz val="8"/>
        <color theme="1"/>
        <rFont val="Calibri"/>
        <family val="2"/>
      </rPr>
      <t>Note: Journeys begin in Monterey. The city where the HSR journey always begins is San Jose, nearest HSR stop to Monterey. Travler must board</t>
    </r>
    <r>
      <rPr>
        <sz val="8"/>
        <rFont val="Calibri"/>
        <family val="2"/>
      </rPr>
      <t xml:space="preserve"> </t>
    </r>
    <r>
      <rPr>
        <sz val="8"/>
        <color theme="1"/>
        <rFont val="Calibri"/>
        <family val="2"/>
      </rPr>
      <t xml:space="preserve">Authority bus in either Madera or Bakersfield. </t>
    </r>
  </si>
  <si>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All driving distances and driving times are from Monterey's Greyhound Bus Station to San Jose's Diridon Station. Distances and driving times found at:</t>
    </r>
    <r>
      <rPr>
        <sz val="7"/>
        <color indexed="12"/>
        <rFont val="Calibri"/>
        <family val="2"/>
      </rPr>
      <t xml:space="preserve"> https://www.google.com/maps/.</t>
    </r>
    <r>
      <rPr>
        <sz val="7"/>
        <color indexed="18"/>
        <rFont val="Calibri"/>
        <family val="2"/>
      </rPr>
      <t xml:space="preserve">  _x000B_</t>
    </r>
  </si>
  <si>
    <r>
      <rPr>
        <i/>
        <sz val="6"/>
        <color theme="1"/>
        <rFont val="Calibri"/>
        <family val="2"/>
      </rPr>
      <t>“With the exception of the automobile, intercity transportation options require multiple modes to complete a trip.” _x000B_</t>
    </r>
    <r>
      <rPr>
        <sz val="6"/>
        <color theme="1"/>
        <rFont val="Calibri"/>
        <family val="2"/>
      </rPr>
      <t>See: Volume 1 Bay Area to Central Valley HST Final Program EIR/EIS of 2008 [PDF 224] at</t>
    </r>
    <r>
      <rPr>
        <i/>
        <sz val="6"/>
        <color theme="1"/>
        <rFont val="Calibri"/>
        <family val="2"/>
      </rPr>
      <t xml:space="preserve">: </t>
    </r>
    <r>
      <rPr>
        <i/>
        <sz val="6"/>
        <color indexed="12"/>
        <rFont val="Calibri"/>
        <family val="2"/>
      </rPr>
      <t>http://www.hsr.ca.gov/Programs/Environmental_Planning/bay_area_2008.htm</t>
    </r>
    <r>
      <rPr>
        <i/>
        <sz val="6"/>
        <color indexed="18"/>
        <rFont val="Calibri"/>
        <family val="2"/>
      </rPr>
      <t xml:space="preserve">l. </t>
    </r>
    <r>
      <rPr>
        <sz val="6"/>
        <color theme="1"/>
        <rFont val="Calibri"/>
        <family val="2"/>
      </rPr>
      <t xml:space="preserve">Also see  p. 3.2-25 [PDF 250] of that document. Only Auto travel does not require a modal change; therefore no access or egress times need be added to compute auto travel time.
</t>
    </r>
    <r>
      <rPr>
        <sz val="6"/>
        <color indexed="18"/>
        <rFont val="Calibri"/>
        <family val="2"/>
      </rPr>
      <t xml:space="preserve">
"</t>
    </r>
  </si>
  <si>
    <r>
      <rPr>
        <sz val="6"/>
        <color theme="1"/>
        <rFont val="Calibri"/>
        <family val="2"/>
      </rPr>
      <t>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 Americans lose 0%-30% of their daily commute on road traffic delays. See:</t>
    </r>
    <r>
      <rPr>
        <sz val="6"/>
        <color indexed="18"/>
        <rFont val="Calibri"/>
        <family val="2"/>
      </rPr>
      <t xml:space="preserve"> </t>
    </r>
    <r>
      <rPr>
        <sz val="6"/>
        <color indexed="12"/>
        <rFont val="Calibri"/>
        <family val="2"/>
      </rPr>
      <t xml:space="preserve">http://abcnews.go.com/US/time-americans-waste-traffic/story?id=33313765 </t>
    </r>
    <r>
      <rPr>
        <sz val="6"/>
        <color indexed="18"/>
        <rFont val="Calibri"/>
        <family val="2"/>
      </rPr>
      <t xml:space="preserve">
"""</t>
    </r>
  </si>
  <si>
    <t>For 23¢/mile, see Table 3.3, p.3-4  [PDF 32] of CA High-Speed Rail 2018 Business Plan, Ridership and Revenue Forecasting: Technical Supporting Document (June 2018)</t>
  </si>
  <si>
    <r>
      <rPr>
        <sz val="6"/>
        <color theme="1"/>
        <rFont val="Calibri"/>
        <family val="2"/>
      </rPr>
      <t>For Greyhound bus service schedules and costs between Origins and the nearest HSR station, see:</t>
    </r>
    <r>
      <rPr>
        <sz val="6"/>
        <color indexed="12"/>
        <rFont val="Calibri"/>
        <family val="2"/>
      </rPr>
      <t xml:space="preserve"> https://www.greyhound.com/en/ecommerce/schedule</t>
    </r>
  </si>
  <si>
    <r>
      <rPr>
        <sz val="6"/>
        <color theme="1"/>
        <rFont val="Calibri"/>
        <family val="2"/>
      </rPr>
      <t xml:space="preserve">As with transfer times between Authority bus and HSR services, a 15minute Transfer Time is assumed. Below Table A.1.1 p. A-1, [PDF 61] of the 2018 Business Plan, Ridership and Revenue Forecasting, Technical Supporting Document says </t>
    </r>
    <r>
      <rPr>
        <i/>
        <sz val="6"/>
        <color theme="1"/>
        <rFont val="Calibri"/>
        <family val="2"/>
      </rPr>
      <t>"HSR Bus Transfer Time  15"</t>
    </r>
  </si>
  <si>
    <t>SV-CV Period:          Pre-HSR transportation Transfer Times (minutes)</t>
  </si>
  <si>
    <r>
      <t>For the 170minute Amtrak Run Time and $37 fare of Pacific SurfPeriodr LAUS-San Diego, See:</t>
    </r>
    <r>
      <rPr>
        <sz val="6"/>
        <color rgb="FF0000FF"/>
        <rFont val="Calibri"/>
        <family val="2"/>
      </rPr>
      <t xml:space="preserve"> https://tickets.amtrak.com/itd/amtrak </t>
    </r>
  </si>
  <si>
    <r>
      <rPr>
        <i/>
        <sz val="6"/>
        <color theme="1"/>
        <rFont val="Calibri"/>
        <family val="2"/>
      </rPr>
      <t xml:space="preserve"> “$10 from Sacramento, Lodi and Elk Grove to Madera. . .” and “$13  from Bakersfield to Southern California locations. . .” </t>
    </r>
    <r>
      <rPr>
        <sz val="6"/>
        <color theme="1"/>
        <rFont val="Calibri"/>
        <family val="2"/>
      </rPr>
      <t>See DRAFT 2018 Business Plan: Technical Supporting Documents, p. 2-6  [PDF 26]</t>
    </r>
  </si>
  <si>
    <r>
      <t>For Amtrak Run Time (170minutes) and $37 fare of Pacific SurfPeriodr LAUS-San Diego, See:</t>
    </r>
    <r>
      <rPr>
        <sz val="6"/>
        <color rgb="FF0000FF"/>
        <rFont val="Calibri"/>
        <family val="2"/>
      </rPr>
      <t xml:space="preserve"> https://tickets.amtrak.com/itd/amtrak</t>
    </r>
  </si>
  <si>
    <t>With the exception of the Sacramento destination, based on mileage in Independent Determination That the Travel Time Requirements of PROP 1A/AB3034 Cannot Be Met, Paul S. Jones; March 13, 2015. Mileage based on San Jose to LAUS, to Fresno and LAUS (for San Diego).  Madera-Sacramento and LAUS-San Diego costs counted elsewhere as part of fares.</t>
  </si>
  <si>
    <t>Formulas for cost per mile found on p. 2-5 {PDF 25] of 2018 Business Plan Ridership and Revenue Forecasts, Technical Supporting Document</t>
  </si>
  <si>
    <r>
      <rPr>
        <sz val="8"/>
        <color theme="1"/>
        <rFont val="Calibri"/>
        <family val="2"/>
      </rPr>
      <t xml:space="preserve"> Travel to/from Central Coast, defined as one of the "Other Regions" in Table 3.2-12 on p. 3.2-25 of Volume 1, Bay Area to Central Valley Program EIR/EIS of 2008 [PDF 252] found at</t>
    </r>
    <r>
      <rPr>
        <sz val="8"/>
        <rFont val="Calibri"/>
        <family val="2"/>
      </rPr>
      <t>:</t>
    </r>
    <r>
      <rPr>
        <sz val="8"/>
        <color indexed="12"/>
        <rFont val="Calibri"/>
        <family val="2"/>
      </rPr>
      <t xml:space="preserve"> http://www.hsr.ca.gov/docs/programs/bay_area_eir/BayCValley08_EIR_finalHST_vol1.pdf.</t>
    </r>
    <r>
      <rPr>
        <sz val="8"/>
        <color theme="1"/>
        <rFont val="Calibri"/>
        <family val="2"/>
      </rPr>
      <t xml:space="preserve"> The city chosen to represent the Central Coast is Santa Barbara. The city where the HSR journey always begins is Los Angeles, the nearest HSR stop to Santa Barbara.</t>
    </r>
  </si>
  <si>
    <r>
      <rPr>
        <i/>
        <sz val="7"/>
        <color theme="1"/>
        <rFont val="Calibri"/>
        <family val="2"/>
      </rPr>
      <t>"Unlike common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All driving distances and driving times are from Santa Barbara's Greyhound Bus Station to LA Unon Station. Distances and driving times found at:</t>
    </r>
    <r>
      <rPr>
        <sz val="7"/>
        <color indexed="12"/>
        <rFont val="Calibri"/>
        <family val="2"/>
      </rPr>
      <t xml:space="preserve"> </t>
    </r>
    <r>
      <rPr>
        <sz val="7"/>
        <color rgb="FF0000FF"/>
        <rFont val="Calibri"/>
        <family val="2"/>
      </rPr>
      <t>https://www.google.com/maps/.  _x000B_</t>
    </r>
  </si>
  <si>
    <r>
      <t xml:space="preserve">The fastest Greyhound Santa Barbara-Los Angeles bus takes 2hours 5minutes and costs $14. See: </t>
    </r>
    <r>
      <rPr>
        <sz val="6"/>
        <color rgb="FF0000FF"/>
        <rFont val="Calibri (Body)_x0000_"/>
      </rPr>
      <t xml:space="preserve">https://www.greyhound.com/en/ecommerce/schedule </t>
    </r>
  </si>
  <si>
    <t>SV-CV Period:    Authority Bus Run Times between Los Angeles Union Station and Bakersfield Amtrak Station + 15minute Transfer Time to go north and 30minutes to take Amtrak to San Diego (minutes)</t>
  </si>
  <si>
    <t xml:space="preserve">For HSR Run Times to Fresno and Madera, see Table A.1.2, p. A-2 [PDF 61] of the 2018 Business Plan, Ridership and Revenue Forecasting, Technical Supporting Document.  </t>
  </si>
  <si>
    <r>
      <rPr>
        <sz val="6"/>
        <color theme="1"/>
        <rFont val="Calibri"/>
        <family val="2"/>
      </rPr>
      <t xml:space="preserve">For Greyhound bus service schedules and costs between Origins and the nearest HSR station, see: </t>
    </r>
    <r>
      <rPr>
        <sz val="6"/>
        <color indexed="12"/>
        <rFont val="Calibri"/>
        <family val="2"/>
      </rPr>
      <t xml:space="preserve">https://www.greyhound.com/en/ecommerce/schedule. </t>
    </r>
    <r>
      <rPr>
        <sz val="6"/>
        <color theme="1"/>
        <rFont val="Calibri"/>
        <family val="2"/>
      </rPr>
      <t>The one-way Santa Barbara - Los Angeles fare is $14.00</t>
    </r>
  </si>
  <si>
    <r>
      <rPr>
        <i/>
        <sz val="6"/>
        <color theme="1"/>
        <rFont val="Calibri"/>
        <family val="2"/>
      </rPr>
      <t xml:space="preserve"> “$13  from Bakersfield to Southern California locations. . .” </t>
    </r>
    <r>
      <rPr>
        <sz val="6"/>
        <color theme="1"/>
        <rFont val="Calibri"/>
        <family val="2"/>
      </rPr>
      <t>See DRAFT 2018 Business Plan: Technical Supporting Documents, p. 2-6  [PDF 26]. For Amtrak Run Time (170minutes) and $35.65 fare of Pacific Surfliner LAUS-San Diego, See:</t>
    </r>
    <r>
      <rPr>
        <sz val="6"/>
        <color indexed="18"/>
        <rFont val="Calibri"/>
        <family val="2"/>
      </rPr>
      <t xml:space="preserve"> </t>
    </r>
    <r>
      <rPr>
        <sz val="6"/>
        <color rgb="FF0000FF"/>
        <rFont val="Calibri"/>
        <family val="2"/>
      </rPr>
      <t>https://tickets.amtrak.com/itd/amtrak</t>
    </r>
  </si>
  <si>
    <r>
      <rPr>
        <sz val="6"/>
        <color theme="1"/>
        <rFont val="Calibri"/>
        <family val="2"/>
      </rPr>
      <t>For Greyhound bus service see:</t>
    </r>
    <r>
      <rPr>
        <sz val="6"/>
        <color indexed="12"/>
        <rFont val="Calibri"/>
        <family val="2"/>
      </rPr>
      <t xml:space="preserve"> https://www.greyhound.com/en/ecommerce/schedule. For the Authority's subsidized bus service</t>
    </r>
    <r>
      <rPr>
        <i/>
        <sz val="6"/>
        <color indexed="12"/>
        <rFont val="Calibri"/>
        <family val="2"/>
      </rPr>
      <t xml:space="preserve"> </t>
    </r>
    <r>
      <rPr>
        <i/>
        <sz val="6"/>
        <color theme="1"/>
        <rFont val="Calibri"/>
        <family val="2"/>
      </rPr>
      <t>“$10 from Sacramento, Lodi and Elk Grove to Madera. . .”</t>
    </r>
    <r>
      <rPr>
        <sz val="6"/>
        <color theme="1"/>
        <rFont val="Calibri"/>
        <family val="2"/>
      </rPr>
      <t xml:space="preserve"> See DRAFT 2018 Business Plan: Technical Supporting Documents, p. 2-6  [PDF 26]</t>
    </r>
  </si>
  <si>
    <t>See Independent Determination That the Travel Time Requirements of PROP 1A/AB3034 Cannot Be Met, Paul S. Jones; March 13, 2015. Distances are only the HSR portion of the LAUS-originated trip. However, HSR miles are only those from Bakersfield northwards to Madera, and none in the case of the San Diego destination. Authority Bus miles and Amtrak miles are accounted for in the costs of those rides found. in other columns</t>
  </si>
  <si>
    <r>
      <rPr>
        <sz val="7"/>
        <color theme="1"/>
        <rFont val="Calibri"/>
        <family val="2"/>
      </rPr>
      <t xml:space="preserve"> Travel to/from Far North, defined as one of the "Other Regions" in Table 3.2-12 on p. 3.2-25 of Volume 1, Bay Area to Central Valley Program EIR/EIS of 2008 [PDF 252] found at:</t>
    </r>
    <r>
      <rPr>
        <sz val="7"/>
        <color indexed="12"/>
        <rFont val="Calibri"/>
        <family val="2"/>
      </rPr>
      <t xml:space="preserve"> http://www.hsr.ca.gov/docs/programs/bay_area_eir/BayCValley08_EIR_finalHST_vol1.pdf.</t>
    </r>
    <r>
      <rPr>
        <sz val="7"/>
        <color theme="1"/>
        <rFont val="Calibri"/>
        <family val="2"/>
      </rPr>
      <t xml:space="preserve"> The Far North city where the hourney begins is Redding. The city the HSR journey always begins is Sacramento, nearest HSR stop to Redding.</t>
    </r>
  </si>
  <si>
    <r>
      <rPr>
        <i/>
        <sz val="7"/>
        <color rgb="FF000080"/>
        <rFont val="Calibri"/>
        <family val="2"/>
      </rPr>
      <t>"Unlike commo</t>
    </r>
    <r>
      <rPr>
        <i/>
        <sz val="7"/>
        <color theme="1"/>
        <rFont val="Calibri"/>
        <family val="2"/>
      </rPr>
      <t>n carrier transportation modes (air, bus, or rail), the automobile does not require or depend on intermodal connections to get from the trip origin to the trip destination."</t>
    </r>
    <r>
      <rPr>
        <sz val="7"/>
        <color theme="1"/>
        <rFont val="Calibri"/>
        <family val="2"/>
      </rPr>
      <t xml:space="preserve"> See p. 3.2-25 [PDF 252] of Bay Area to Central Valley Final Program EIR/EIS, May, 2008.   All driving distances and driving times are from Redding's Greyhound Bus Station to the stated Destinations. Distances and driving times found at: </t>
    </r>
    <r>
      <rPr>
        <sz val="7"/>
        <color rgb="FF0000FF"/>
        <rFont val="Calibri"/>
        <family val="2"/>
      </rPr>
      <t xml:space="preserve">https://www.google.com/maps/.  </t>
    </r>
    <r>
      <rPr>
        <sz val="7"/>
        <color indexed="18"/>
        <rFont val="Calibri"/>
        <family val="2"/>
      </rPr>
      <t>_x000B_</t>
    </r>
  </si>
  <si>
    <t>SV-CV Period:    Transfer Times to Authority Dedicated Bus for Sacramento-Madera trip aboard a Authority Dedicated Bus to meet an HSR train in Madera</t>
  </si>
  <si>
    <r>
      <t xml:space="preserve">As with transfer times between Authority bus and HSR services, a 15minute Transfer Time is assumed. Below Table A.1.1 p. A-1, [PDF 61] of the 2018 Business Plan, Ridership and Revenue Forecasting, Technical Supporting Document says </t>
    </r>
    <r>
      <rPr>
        <i/>
        <sz val="6"/>
        <color theme="1"/>
        <rFont val="Calibri"/>
        <family val="2"/>
      </rPr>
      <t>"HSR Bus Transfer Time  15"</t>
    </r>
  </si>
  <si>
    <t>SV-CV Period: Transfer Time at Bakersfield (15minutes) before the 160minute Run Time of the Authority's cross-Tehachapi bus to LAUS</t>
  </si>
  <si>
    <t xml:space="preserve"> See Table A 1.2, p. A-1 [PDF 61] of 2018 Business Plan's Ridership and Revenue Forecasting, Technical Supporting Document. Madera to San Diego HSR Run Time is actually Madera-LAUS.</t>
  </si>
  <si>
    <t>SV-CV Period:        HSR Run Times Madera-Fresno or Madera-San Jose, or Madera-Bakersfield to meet Auuthority Bus to cross the Tehachapi range (minutes)</t>
  </si>
  <si>
    <t xml:space="preserve">As with transfer times between Authority bus and HSR services, a 15minute Transfer Time is assumed. For example, see Table A 1.3, p. A-2 [PDF 61] of 2018 Business Plan, Ridership and Revenue Forecasting, Technical Supporting Document. </t>
  </si>
  <si>
    <t>SV-CV Period: Run Times of the Authority's Tehachapi bus Bakersfield-LAUS and for San Diego, Tansfer Time at LAUS (30minutes) plus Run Time (170minutes)  for Amtrak Pacific Surfliner</t>
  </si>
  <si>
    <r>
      <rPr>
        <sz val="6"/>
        <color indexed="12"/>
        <rFont val="Calibri"/>
        <family val="2"/>
      </rPr>
      <t xml:space="preserve"> </t>
    </r>
    <r>
      <rPr>
        <sz val="6"/>
        <color theme="1"/>
        <rFont val="Calibri"/>
        <family val="2"/>
      </rPr>
      <t>The Greyhound one way Redding-Sacramento Run Time is 2hrs. 40minutes and the one-way fare is $34. see:</t>
    </r>
    <r>
      <rPr>
        <sz val="6"/>
        <color indexed="18"/>
        <rFont val="Calibri"/>
        <family val="2"/>
      </rPr>
      <t xml:space="preserve"> </t>
    </r>
    <r>
      <rPr>
        <sz val="6"/>
        <color indexed="12"/>
        <rFont val="Calibri"/>
        <family val="2"/>
      </rPr>
      <t>https://www.greyhound.com/en/ecommerce/schedule.</t>
    </r>
  </si>
  <si>
    <r>
      <rPr>
        <sz val="6"/>
        <color theme="1"/>
        <rFont val="Calibri"/>
        <family val="2"/>
      </rPr>
      <t>For Greyhound bus service schedules and costs between Redding and the nearest HSR station, Sacramento, see:</t>
    </r>
    <r>
      <rPr>
        <sz val="6"/>
        <color indexed="12"/>
        <rFont val="Calibri"/>
        <family val="2"/>
      </rPr>
      <t xml:space="preserve"> https://www.greyhound.com/en/ecommerce/schedule. </t>
    </r>
    <r>
      <rPr>
        <sz val="6"/>
        <color theme="1"/>
        <rFont val="Calibri"/>
        <family val="2"/>
      </rPr>
      <t>The fastest time is 2hours 40minutes and the one way fare Redding-Sacramento is $34</t>
    </r>
  </si>
  <si>
    <r>
      <rPr>
        <sz val="7"/>
        <color theme="1"/>
        <rFont val="Calibri"/>
        <family val="2"/>
      </rPr>
      <t xml:space="preserve"> Travel to/from West Sierra Nevada, defined as one of the "Other Regions" in Table 3.2-12 on p. 3.2-25 of Volume 1, Bay Area to Central Valley Program EIR/EIS of 2008 [PDF 252] found at</t>
    </r>
    <r>
      <rPr>
        <sz val="7"/>
        <rFont val="Calibri"/>
        <family val="2"/>
      </rPr>
      <t>:</t>
    </r>
    <r>
      <rPr>
        <sz val="7"/>
        <color indexed="12"/>
        <rFont val="Calibri"/>
        <family val="2"/>
      </rPr>
      <t xml:space="preserve"> http://www.hsr.ca.gov/docs/programs/bay_area_eir/BayCValley08_EIR_finalHST_vol1.pdf. </t>
    </r>
    <r>
      <rPr>
        <sz val="7"/>
        <color theme="1"/>
        <rFont val="Calibri"/>
        <family val="2"/>
      </rPr>
      <t>The West Sierra Nevada city where the journey begins is South Lake Tahoe.  The HSR journey always begins is Sacramento, nearest HSR stop to South Lake Tahoe.</t>
    </r>
  </si>
  <si>
    <r>
      <rPr>
        <i/>
        <sz val="7"/>
        <color theme="1"/>
        <rFont val="Calibri"/>
        <family val="2"/>
      </rPr>
      <t xml:space="preserve">"Unlike common carrier transportation modes (air, bus, or rail), the automobile does not require or depend on intermodal connections to get from the trip origin to the trip destination." </t>
    </r>
    <r>
      <rPr>
        <sz val="7"/>
        <color theme="1"/>
        <rFont val="Calibri"/>
        <family val="2"/>
      </rPr>
      <t>See p. 3.2-25 [PDF 252] of Bay Area to Central Valley Final Program EIR/EIS, May, 2008.   All driving distances and driving times are from South Lake Tahoe. Distances and driving times found at:</t>
    </r>
    <r>
      <rPr>
        <sz val="7"/>
        <color indexed="12"/>
        <rFont val="Calibri"/>
        <family val="2"/>
      </rPr>
      <t xml:space="preserve"> https://www.google.com/maps/.</t>
    </r>
    <r>
      <rPr>
        <sz val="7"/>
        <color indexed="18"/>
        <rFont val="Calibri"/>
        <family val="2"/>
      </rPr>
      <t xml:space="preserve">  _x000B_</t>
    </r>
  </si>
  <si>
    <r>
      <rPr>
        <i/>
        <sz val="6"/>
        <color theme="1"/>
        <rFont val="Calibri"/>
        <family val="2"/>
      </rPr>
      <t>“With the exception of the automobile, intercity transportation options require multiple modes to complete a trip.” _x000B_</t>
    </r>
    <r>
      <rPr>
        <sz val="6"/>
        <color theme="1"/>
        <rFont val="Calibri"/>
        <family val="2"/>
      </rPr>
      <t>See: Volume 1 Bay Area to Central Valley HST Final Program EIR/EIS of 2008 [PDF 224] at</t>
    </r>
    <r>
      <rPr>
        <i/>
        <sz val="6"/>
        <color indexed="18"/>
        <rFont val="Calibri"/>
        <family val="2"/>
      </rPr>
      <t xml:space="preserve">: </t>
    </r>
    <r>
      <rPr>
        <i/>
        <sz val="6"/>
        <color rgb="FF0000FF"/>
        <rFont val="Calibri"/>
        <family val="2"/>
      </rPr>
      <t>http://www.hsr.ca.gov/Programs/Environmental_Planning/bay_area_2008.html</t>
    </r>
    <r>
      <rPr>
        <i/>
        <sz val="6"/>
        <color theme="1"/>
        <rFont val="Calibri"/>
        <family val="2"/>
      </rPr>
      <t>.</t>
    </r>
    <r>
      <rPr>
        <i/>
        <sz val="6"/>
        <color indexed="18"/>
        <rFont val="Calibri"/>
        <family val="2"/>
      </rPr>
      <t xml:space="preserve"> </t>
    </r>
    <r>
      <rPr>
        <sz val="6"/>
        <color theme="1"/>
        <rFont val="Calibri"/>
        <family val="2"/>
      </rPr>
      <t xml:space="preserve">Also see  p. 3.2-25 [PDF 250] of that document. Only Auto travel does not require a modal change; therefore no access or egress times need be added to compute auto travel time.
</t>
    </r>
    <r>
      <rPr>
        <sz val="6"/>
        <color indexed="18"/>
        <rFont val="Calibri"/>
        <family val="2"/>
      </rPr>
      <t xml:space="preserve">
"</t>
    </r>
  </si>
  <si>
    <r>
      <rPr>
        <sz val="6"/>
        <color theme="1"/>
        <rFont val="Calibri"/>
        <family val="2"/>
      </rPr>
      <t>For Greyhound bus service schedules and costs between Truckee (South Lake Tahoe's nearest Greayhound station) and Sacramento, see</t>
    </r>
    <r>
      <rPr>
        <sz val="6"/>
        <color indexed="18"/>
        <rFont val="Calibri"/>
        <family val="2"/>
      </rPr>
      <t>:</t>
    </r>
    <r>
      <rPr>
        <sz val="6"/>
        <color indexed="12"/>
        <rFont val="Calibri"/>
        <family val="2"/>
      </rPr>
      <t xml:space="preserve"> https://www.greyhound.com/en/ecommerce/schedule. </t>
    </r>
    <r>
      <rPr>
        <sz val="6"/>
        <color theme="1"/>
        <rFont val="Calibri"/>
        <family val="2"/>
      </rPr>
      <t>The fastest time is 2hours 35minutes and the one way fare South Lake Tahoe-Sacramento is $28</t>
    </r>
  </si>
  <si>
    <r>
      <rPr>
        <sz val="6"/>
        <color theme="1"/>
        <rFont val="Calibri"/>
        <family val="2"/>
      </rPr>
      <t>The Bakersfield-LAUS Bus Run Time is 160minutes. The Transfer Time in LAUS for Amtrak's Pacific Surfliner to San Diego is 30minutes as that train only runs hourly. Times for San Diego-LAUS and San Diego-Anaheim are Amtrak's Pacific Surliner Run Times as there is no HSR service to or from San Diego County. The Run Time San Diego-LAUS is 170minutes. For the Amtrak Run Time and $37 fare of Pacific Surfliner LAUS-San Diego, See</t>
    </r>
    <r>
      <rPr>
        <sz val="6"/>
        <color indexed="18"/>
        <rFont val="Calibri"/>
        <family val="2"/>
      </rPr>
      <t>:</t>
    </r>
    <r>
      <rPr>
        <sz val="6"/>
        <color rgb="FF0000FF"/>
        <rFont val="Calibri"/>
        <family val="2"/>
      </rPr>
      <t xml:space="preserve"> https://tickets.amtrak.com/itd/amtrak </t>
    </r>
  </si>
  <si>
    <r>
      <t xml:space="preserve">“$10 from Sacramento, Lodi and Elk Grove to Madera. . .” See DRAFT 2018 Business Plan: Technical Supporting Documents, p. 2-6  [PDF 26]. </t>
    </r>
    <r>
      <rPr>
        <b/>
        <sz val="6"/>
        <color theme="1"/>
        <rFont val="Calibri"/>
        <family val="2"/>
      </rPr>
      <t>Note: these fares are heavily subsidized, which is illegal according to AB3034.</t>
    </r>
  </si>
  <si>
    <r>
      <rPr>
        <sz val="6"/>
        <color theme="1"/>
        <rFont val="Calibri"/>
        <family val="2"/>
      </rPr>
      <t xml:space="preserve"> “$13  from Bakersfield to Southern California locations. . .” See 2018 Business Plan: Technical Supporting Documents, p. 2-6  [PDF 26].  For San Diego, the sum is the $13 Techachapi bus fare and the $35.65 Amtrak Pacific Surfliner fare LAUS-San Diego.See:</t>
    </r>
    <r>
      <rPr>
        <sz val="6"/>
        <color rgb="FF0000FF"/>
        <rFont val="Calibri"/>
        <family val="2"/>
      </rPr>
      <t xml:space="preserve"> https://tickets.amtrak.com/itd/amtrak</t>
    </r>
  </si>
  <si>
    <t>These airfares originate in Reno, Nevada, (RNO), the closest commercial airport to South Lake Tahoe.</t>
  </si>
  <si>
    <t xml:space="preserve">SV-CV Period:                     One-way Distances in driving miles from an Origin designated "Other Region" to the named Destination, where the Authority claims Ridership and Revenue </t>
  </si>
  <si>
    <r>
      <rPr>
        <sz val="6"/>
        <color theme="1"/>
        <rFont val="Calibri"/>
        <family val="2"/>
      </rPr>
      <t>“With the exception of the automobile, intercity transportation options require multiple modes to complete a trip.” _x000B_See: Volume 1 Bay Area to Central Valley HST Final Program EIR/EIS of 2008 [PDF 224] at:</t>
    </r>
    <r>
      <rPr>
        <sz val="6"/>
        <color rgb="FF0000FF"/>
        <rFont val="Calibri"/>
        <family val="2"/>
      </rPr>
      <t xml:space="preserve"> http://www.hsr.ca.gov/Programs/Environmental_Planning/bay_area_2008.html</t>
    </r>
    <r>
      <rPr>
        <sz val="6"/>
        <color theme="1"/>
        <rFont val="Calibri"/>
        <family val="2"/>
      </rPr>
      <t xml:space="preserve">. Also see  p. 3.2-25 [PDF 250] of that document. Only Auto travel does not require a modal change; therefore no access or egress times need be added to compute auto travel time.
</t>
    </r>
    <r>
      <rPr>
        <sz val="6"/>
        <color indexed="18"/>
        <rFont val="Calibri"/>
        <family val="2"/>
      </rPr>
      <t xml:space="preserve">
"</t>
    </r>
  </si>
  <si>
    <r>
      <rPr>
        <sz val="6"/>
        <color theme="1"/>
        <rFont val="Calibri"/>
        <family val="2"/>
      </rPr>
      <t xml:space="preserve">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 Americans lose 0%-30% of their daily commute on road traffic delays. See: </t>
    </r>
    <r>
      <rPr>
        <sz val="6"/>
        <color rgb="FF0000FF"/>
        <rFont val="Calibri"/>
        <family val="2"/>
      </rPr>
      <t xml:space="preserve">http://abcnews.go.com/US/time-americans-waste-traffic/story?id=33313765 </t>
    </r>
    <r>
      <rPr>
        <sz val="6"/>
        <color theme="1"/>
        <rFont val="Calibri"/>
        <family val="2"/>
      </rPr>
      <t xml:space="preserve">
</t>
    </r>
    <r>
      <rPr>
        <sz val="6"/>
        <color indexed="18"/>
        <rFont val="Calibri"/>
        <family val="2"/>
      </rPr>
      <t xml:space="preserve">
"""</t>
    </r>
  </si>
  <si>
    <r>
      <t xml:space="preserve">As with transfer times between Authority bus and HSR services, a 15minute Transfer Time is assumed. Below Table A.1.1 p. A-1, [PDF 61] of the 2018 Business Plan, Ridership and Revenue Forecasting, Technical Supporting Document says </t>
    </r>
    <r>
      <rPr>
        <i/>
        <sz val="6"/>
        <color theme="1"/>
        <rFont val="Calibri (Body)_x0000_"/>
      </rPr>
      <t>"HSR Bus Transfer Time  15"</t>
    </r>
  </si>
  <si>
    <t>SV-CV Period:     Transfer Time in Bakersfield for Authority Bus (minutes)</t>
  </si>
  <si>
    <r>
      <rPr>
        <sz val="7"/>
        <color theme="1"/>
        <rFont val="Calibri"/>
        <family val="2"/>
      </rPr>
      <t xml:space="preserve"> Travel to/from the Yosimite Valley as another "Other Region"as defned in Table 3.2-12 on p. 3.2-25 of Volume 1, Bay Area to Central Valley Program EIR/EIS of 2008 [PDF 252] found a</t>
    </r>
    <r>
      <rPr>
        <sz val="7"/>
        <color indexed="18"/>
        <rFont val="Calibri"/>
        <family val="2"/>
      </rPr>
      <t>t</t>
    </r>
    <r>
      <rPr>
        <sz val="7"/>
        <rFont val="Calibri"/>
        <family val="2"/>
      </rPr>
      <t>:</t>
    </r>
    <r>
      <rPr>
        <sz val="7"/>
        <color indexed="12"/>
        <rFont val="Calibri"/>
        <family val="2"/>
      </rPr>
      <t xml:space="preserve"> http://www.hsr.ca.gov/docs/programs/bay_area_eir/BayCValley08_EIR_finalHST_vol1.pdf. </t>
    </r>
    <r>
      <rPr>
        <sz val="7"/>
        <color theme="1"/>
        <rFont val="Calibri"/>
        <family val="2"/>
      </rPr>
      <t xml:space="preserve">Travel starts by bus from Yosemite Valley to Madera, the closest HSR station. </t>
    </r>
  </si>
  <si>
    <t xml:space="preserve">SV-CV Period:           Onward HSR travel-related transportation fares; one-way Authority Bus fare Bakersfield-LA on an Authority Dedicated Bus </t>
  </si>
  <si>
    <t>Since Dr. Jones' paper did not address the Madera-S 30miles are added to the totals of Madera-San Jose, Madera-Bakersfield and Madera-LA Union (for both the LA and San Diego destinations)</t>
  </si>
  <si>
    <t>From Independent Determination That the Travel Time Requirements of PROP 1A/AB3034 Cannot Be Met, Paul S. Jones; March 13, 2015.  Madera-Sacramento miles are taken into account elsewhere.</t>
  </si>
  <si>
    <t>Thereis no commercial airport in Madera that would serve these routes without changes; we therefore used Fresno (FAT)</t>
  </si>
  <si>
    <r>
      <rPr>
        <sz val="6"/>
        <color theme="1"/>
        <rFont val="Calibri"/>
        <family val="2"/>
      </rPr>
      <t xml:space="preserve">Fight advance purchases found at: </t>
    </r>
    <r>
      <rPr>
        <sz val="6"/>
        <color rgb="FF0000FF"/>
        <rFont val="Calibri"/>
        <family val="2"/>
      </rPr>
      <t>https://www.kayak.com/flights/</t>
    </r>
    <r>
      <rPr>
        <sz val="6"/>
        <color indexed="28"/>
        <rFont val="Calibri"/>
        <family val="2"/>
      </rPr>
      <t xml:space="preserve">. </t>
    </r>
    <r>
      <rPr>
        <sz val="6"/>
        <color theme="1"/>
        <rFont val="Calibri"/>
        <family val="2"/>
      </rPr>
      <t>See Screen Shots to/from folder</t>
    </r>
  </si>
  <si>
    <t xml:space="preserve"> Travel to/from Other Region-Other Region, because CHSRA claims 100,000 riders and $3.6Million  in that category in Table 5.3, p. 5-5  [PDF 42] of the 2018 Business Plan's Ridership and Revenue Forecasting, Technical Supporting Document.</t>
  </si>
  <si>
    <r>
      <rPr>
        <i/>
        <sz val="7"/>
        <color theme="1"/>
        <rFont val="Calibri"/>
        <family val="2"/>
      </rPr>
      <t xml:space="preserve">"Unlike common carrier transportation modes (air, bus, or rail), the automobile does not require or depend on intermodal connections to get from the trip origin to the trip destination." </t>
    </r>
    <r>
      <rPr>
        <sz val="7"/>
        <color theme="1"/>
        <rFont val="Calibri"/>
        <family val="2"/>
      </rPr>
      <t>See p. 3.2-25 [PDF 252] of Bay Area to Central Valley Final Program EIR/EIS, May, 2008.   All driving distances and driving times are from South Lake Tahoe. Distances and driving times found at:</t>
    </r>
    <r>
      <rPr>
        <sz val="7"/>
        <color rgb="FF0000FF"/>
        <rFont val="Calibri"/>
        <family val="2"/>
      </rPr>
      <t xml:space="preserve"> https://www.google.com/maps/.</t>
    </r>
    <r>
      <rPr>
        <sz val="7"/>
        <color theme="1"/>
        <rFont val="Calibri"/>
        <family val="2"/>
      </rPr>
      <t xml:space="preserve">  _x000B_</t>
    </r>
  </si>
  <si>
    <r>
      <rPr>
        <i/>
        <sz val="7"/>
        <color theme="1"/>
        <rFont val="Calibri (Body)_x0000_"/>
      </rPr>
      <t xml:space="preserve"> "Unlike common carrier transportation modes (air, bus, or rail), the automobile does not require or depend on intermodal connections to get from the trip origin to the trip destination."</t>
    </r>
    <r>
      <rPr>
        <sz val="7"/>
        <color theme="1"/>
        <rFont val="Calibri (Body)_x0000_"/>
      </rPr>
      <t xml:space="preserve"> See p. 3.2-25 [PDF 252] of Bay Area to Central Valley Final Program EIR/EIS, May, 2008. Distances and driving times found at</t>
    </r>
    <r>
      <rPr>
        <sz val="7"/>
        <color rgb="FF0000FF"/>
        <rFont val="Calibri (Body)_x0000_"/>
      </rPr>
      <t>: https://www.google.com/maps/  _x000B_</t>
    </r>
  </si>
  <si>
    <r>
      <rPr>
        <sz val="6"/>
        <color theme="1"/>
        <rFont val="Calibri"/>
        <family val="2"/>
      </rPr>
      <t xml:space="preserve">For no-change of bus Greyhound bus service schedules and costs between Monterey and San Jose and Santa Barbara and Los Angeles, see: </t>
    </r>
    <r>
      <rPr>
        <sz val="6"/>
        <color indexed="12"/>
        <rFont val="Calibri"/>
        <family val="2"/>
      </rPr>
      <t xml:space="preserve">https://www.greyhound.com/en/ecommerce/schedule. </t>
    </r>
  </si>
  <si>
    <r>
      <t xml:space="preserve">As with transfer times between Authority bus and HSR services, a 15minute Transfer Time is assumed. Below Table A.1.1 or Table A.1.3, p. A-1, [PDF 61] of the 2018 Business Plan, Ridership and Revenue Forecasting, Technical Supporting Document says </t>
    </r>
    <r>
      <rPr>
        <i/>
        <sz val="6"/>
        <color theme="1"/>
        <rFont val="Calibri"/>
        <family val="2"/>
      </rPr>
      <t>"HSR Bus Transfer Time  15"</t>
    </r>
  </si>
  <si>
    <t>HSR Run Times, San Jose-Bakersfield and San Jose-Madera for the top three routes. For LAUS towards Redding or S. Lake Tahoe, travelers take the Authority Bus (160minutes) then an HSR train to Madera. Both Run Time sets found on p. A-1 [PDF 61] of 2018 Business Plan's Ridership and Revenue Forecsasting, Technical Supporting Document.</t>
  </si>
  <si>
    <t>For Bakersfield-LAUS, see Table A.2.3, p. A-3 [PDF 62] of the 2016 Plan's Ridership and Revenue Forecasting, Technical Supporting Document. For Madera-Sacramento Bus Run Time, see Table A.2.1 of the same document. Transfer Times for Greyhound buses are assumed to be 15minutes although are likely to be longer and travelers must proceed from Sacramento's HSR (Amtrak) station bus terminal to Greyhound terminal</t>
  </si>
  <si>
    <t>SV-CV Period:                  Greyhound Run Times , LAUS-Santa Barbara (185minutes) plus Run Times Sacramento-Redding (160minutes), or Sacramento- S. Lake Tahoe (155minutes) + Transfer Time in Sacramento for a Greyhound bus to Redding or S. Lake Tahoe</t>
  </si>
  <si>
    <r>
      <rPr>
        <sz val="6"/>
        <color theme="1"/>
        <rFont val="Calibri"/>
        <family val="2"/>
      </rPr>
      <t>For Greyhound bus service schedules and costs between Truckee (South Lake Tahoe's nearest Greayhound station) and Sacramento, see</t>
    </r>
    <r>
      <rPr>
        <sz val="6"/>
        <color indexed="18"/>
        <rFont val="Calibri"/>
        <family val="2"/>
      </rPr>
      <t>:</t>
    </r>
    <r>
      <rPr>
        <sz val="6"/>
        <color indexed="12"/>
        <rFont val="Calibri"/>
        <family val="2"/>
      </rPr>
      <t xml:space="preserve"> https://www.greyhound.com/en/ecommerce/schedule. </t>
    </r>
    <r>
      <rPr>
        <sz val="6"/>
        <color theme="1"/>
        <rFont val="Calibri"/>
        <family val="2"/>
      </rPr>
      <t>The fastest time is 2hours 35minutes and the one way fare South Lake Tahoe-Sacramento is $30</t>
    </r>
  </si>
  <si>
    <r>
      <rPr>
        <sz val="6"/>
        <color theme="1"/>
        <rFont val="Calibri"/>
        <family val="2"/>
      </rPr>
      <t>For no-change of bus Greyhound bus service schedules and costs between Sacramento, South Lake Tahoe or Redding</t>
    </r>
    <r>
      <rPr>
        <sz val="6"/>
        <color indexed="18"/>
        <rFont val="Calibri"/>
        <family val="2"/>
      </rPr>
      <t>, see:</t>
    </r>
    <r>
      <rPr>
        <sz val="6"/>
        <color indexed="12"/>
        <rFont val="Calibri"/>
        <family val="2"/>
      </rPr>
      <t xml:space="preserve"> https://www.greyhound.com/en/ecommerce/schedule. </t>
    </r>
    <r>
      <rPr>
        <sz val="6"/>
        <color theme="1"/>
        <rFont val="Calibri"/>
        <family val="2"/>
      </rPr>
      <t>The one-way Los Angeles-Sta. Barbara fare is $13; Sacramento-Redding is $29, Sacramento-S. Lake Tahoe (Truckee) is $30</t>
    </r>
  </si>
  <si>
    <t>LAX - FAT</t>
  </si>
  <si>
    <t>LAX -SMF</t>
  </si>
  <si>
    <t>SFO - FAT</t>
  </si>
  <si>
    <t>FAT - SJC</t>
  </si>
  <si>
    <r>
      <rPr>
        <sz val="6"/>
        <color theme="1"/>
        <rFont val="Calibri"/>
        <family val="2"/>
      </rPr>
      <t xml:space="preserve">The source of $23 is the average for round-trip  access and egress costs is derived from: </t>
    </r>
    <r>
      <rPr>
        <i/>
        <sz val="6"/>
        <color theme="1"/>
        <rFont val="Calibri"/>
        <family val="2"/>
      </rPr>
      <t>“As with air travel, both an access fee and an egress fee ranging from $15 to $31 round trip are part of the HST average total costs.”</t>
    </r>
    <r>
      <rPr>
        <sz val="6"/>
        <color theme="1"/>
        <rFont val="Calibri"/>
        <family val="2"/>
      </rPr>
      <t xml:space="preserve"> found on p. 3-2-30 [PDF 261] Bay Area to Central Valley HST Final Program EIR/EIS, Volume 1: Report, May 2008; prepared by the US Dept. of Transportation/Federal Railroad Administration and the California High-Speed Rail Authority found at</t>
    </r>
    <r>
      <rPr>
        <sz val="6"/>
        <color indexed="18"/>
        <rFont val="Calibri"/>
        <family val="2"/>
      </rPr>
      <t>:</t>
    </r>
    <r>
      <rPr>
        <sz val="6"/>
        <color rgb="FF0000FF"/>
        <rFont val="Calibri"/>
        <family val="2"/>
      </rPr>
      <t xml:space="preserve"> http://www.hsr.ca.gov/Programs/Environmental_Planning/bay_area_2008.html.</t>
    </r>
    <r>
      <rPr>
        <sz val="6"/>
        <color indexed="18"/>
        <rFont val="Calibri"/>
        <family val="2"/>
      </rPr>
      <t xml:space="preserve">  </t>
    </r>
    <r>
      <rPr>
        <sz val="6"/>
        <color theme="1"/>
        <rFont val="Calibri"/>
        <family val="2"/>
      </rPr>
      <t>Note: We assumed that this $23 includes parking as well as driving costs, or the costs of public conveyance to and from the Origin and Destination HSR stations</t>
    </r>
    <r>
      <rPr>
        <sz val="6"/>
        <color indexed="18"/>
        <rFont val="Calibri"/>
        <family val="2"/>
      </rPr>
      <t xml:space="preserve">
</t>
    </r>
  </si>
  <si>
    <r>
      <t>The source of $23 is the average for round-trip  access and egress costs is derived from: “As with air travel, both an access fee and an egress fee ranging from $15 to $31 round trip are part of the HST average total costs.” found on p. 3-2-30 [PDF 261] Bay Area to Central Valley HST Final Program EIR/EIS, Volume 1: Report, May 2008; prepared by the US Dept. of Transportation/Federal Railroad Administration and the California High-Speed Rail Authority found at:</t>
    </r>
    <r>
      <rPr>
        <sz val="6"/>
        <color rgb="FF0000FF"/>
        <rFont val="Calibri"/>
        <family val="2"/>
      </rPr>
      <t xml:space="preserve"> http://www.hsr.ca.gov/Programs/Environmental_Planning/bay_area_2008.html</t>
    </r>
    <r>
      <rPr>
        <sz val="6"/>
        <color theme="1"/>
        <rFont val="Calibri"/>
        <family val="2"/>
      </rPr>
      <t xml:space="preserve">.  Note: We assumed that this $23 includes parking as well as driving costs, or the costs of public conveyance to and from the Origin and Destination HSR stations
</t>
    </r>
  </si>
  <si>
    <t>SMF - SJC</t>
  </si>
  <si>
    <r>
      <t>The analyses of 11 Origins/Destination in the San Joaquin Valley, which includes Sacramento County, are those the Authority’s HSR trains or dedicated buses will serve from 2029-2040 - and where the Authority claims riders and revenues will come from.  They are also places where the Authority will displace Amtrak's San Joaquin subsidized rail service in 2029, therefore important to understand. Nineteen Counties (or parts of several) define the San Joaquin Valley: Butte, Colusa, Glenn, El Dorado, Fresno, Kings, Madera, Merced, Placer, San Joaquin, Sacramento, Shasta, Solano, Stanislaus, Sutter, Tehama, Tulare, Yuba, Yolo, and the Southern California county of Kern. See:</t>
    </r>
    <r>
      <rPr>
        <b/>
        <sz val="7"/>
        <color rgb="FF0000FF"/>
        <rFont val="Calibri"/>
        <family val="2"/>
        <scheme val="minor"/>
      </rPr>
      <t xml:space="preserve"> </t>
    </r>
    <r>
      <rPr>
        <sz val="7"/>
        <color rgb="FF0000FF"/>
        <rFont val="Calibri (Body)_x0000_"/>
      </rPr>
      <t xml:space="preserve">https://en.wikipedia.org/wiki/San_Joaquin_Valley </t>
    </r>
    <r>
      <rPr>
        <b/>
        <sz val="7"/>
        <color theme="1"/>
        <rFont val="Calibri"/>
        <family val="2"/>
        <scheme val="minor"/>
      </rPr>
      <t xml:space="preserve">
Note: </t>
    </r>
    <r>
      <rPr>
        <sz val="7"/>
        <color theme="1"/>
        <rFont val="Calibri"/>
        <family val="2"/>
        <scheme val="minor"/>
      </rPr>
      <t>The $1.00 Authority Bus fares from Madera to Turlock or Merced, Modesto, Stockton and Elk Grove are subsidized. Contrast Greyhound's lowest fares to those cities, $8, $17, $10, $22 and $20 respectively to the Authority's $1.00 fare.  See:</t>
    </r>
    <r>
      <rPr>
        <sz val="7"/>
        <color rgb="FF3366FF"/>
        <rFont val="Calibri (Body)_x0000_"/>
      </rPr>
      <t xml:space="preserve"> </t>
    </r>
    <r>
      <rPr>
        <sz val="7"/>
        <color rgb="FF0000FF"/>
        <rFont val="Calibri (Body)_x0000_"/>
      </rPr>
      <t>https://www.greyhound.com/en/ecommerce/schedule</t>
    </r>
    <r>
      <rPr>
        <sz val="7"/>
        <color rgb="FF0000FF"/>
        <rFont val="Calibri"/>
        <family val="2"/>
        <scheme val="minor"/>
      </rPr>
      <t xml:space="preserve"> 	</t>
    </r>
    <r>
      <rPr>
        <sz val="7"/>
        <color theme="1"/>
        <rFont val="Calibri"/>
        <family val="2"/>
        <scheme val="minor"/>
      </rPr>
      <t xml:space="preserve">			</t>
    </r>
  </si>
  <si>
    <r>
      <rPr>
        <sz val="6.5"/>
        <color theme="1"/>
        <rFont val="Calibri (Body)_x0000_"/>
      </rPr>
      <t>See Web site Folders of Commerical Air Services at</t>
    </r>
    <r>
      <rPr>
        <sz val="6.5"/>
        <color indexed="18"/>
        <rFont val="Calibri (Body)_x0000_"/>
      </rPr>
      <t>:</t>
    </r>
    <r>
      <rPr>
        <sz val="6.5"/>
        <color rgb="FF0000FF"/>
        <rFont val="Calibri (Body)_x0000_"/>
      </rPr>
      <t xml:space="preserve"> https://sites.google.com/site/hsrcaliffr/home/2-1-major-reports---2018-plan/09-2018-if-you-build-it-they-will-not-come---the-sequel </t>
    </r>
  </si>
  <si>
    <r>
      <t>See Web site Folders of Commerical Air Services at:</t>
    </r>
    <r>
      <rPr>
        <sz val="6.5"/>
        <color rgb="FF0000FF"/>
        <rFont val="Calibri (Body)_x0000_"/>
      </rPr>
      <t xml:space="preserve"> https://sites.google.com/site/hsrcaliffr/home/2-1-major-reports---2018-plan/09-2018-if-you-build-it-they-will-not-come---the-sequel </t>
    </r>
    <r>
      <rPr>
        <sz val="6.5"/>
        <color theme="1"/>
        <rFont val="Calibri (Body)_x0000_"/>
      </rPr>
      <t xml:space="preserve">
</t>
    </r>
  </si>
  <si>
    <r>
      <t>See Web site Folders of Commerical Air Services at:</t>
    </r>
    <r>
      <rPr>
        <sz val="6"/>
        <color rgb="FF0000FF"/>
        <rFont val="Calibri"/>
        <family val="2"/>
      </rPr>
      <t xml:space="preserve"> https://sites.google.com/site/hsrcaliffr/home/2-1-major-reports---2018-plan/09-2018-if-you-build-it-they-will-not-come---the-sequel </t>
    </r>
    <r>
      <rPr>
        <sz val="6"/>
        <color theme="1"/>
        <rFont val="Calibri"/>
        <family val="2"/>
      </rPr>
      <t xml:space="preserve">
</t>
    </r>
  </si>
  <si>
    <r>
      <t xml:space="preserve">See Web site Folders of Commerical Air Services at: </t>
    </r>
    <r>
      <rPr>
        <sz val="7"/>
        <color rgb="FF0000FF"/>
        <rFont val="Calibri (Body)_x0000_"/>
      </rPr>
      <t xml:space="preserve">https://sites.google.com/site/hsrcaliffr/home/2-1-major-reports---2018-plan/09-2018-if-you-build-it-they-will-not-come---the-sequel </t>
    </r>
    <r>
      <rPr>
        <sz val="7"/>
        <color theme="1"/>
        <rFont val="Calibri (Body)_x0000_"/>
      </rPr>
      <t xml:space="preserve">
</t>
    </r>
  </si>
  <si>
    <r>
      <rPr>
        <sz val="7"/>
        <color theme="1"/>
        <rFont val="Calibri (Body)_x0000_"/>
      </rPr>
      <t xml:space="preserve">Note: Although Dedicated Authority Buses serve Van Nuys, West LA, and Santa Anita during  SV-CV Period (2029-2032) this is the only instance of such service making analysis of these Orgins and Destinations an anamoly and leading the Authors to substitute OC Gateway and Anaheim - the post-2032 - destinations as being more realistic. Also, Authority patrons on the two routes that are cheaper than driving (LA-Bakersfield and OC Gateway-Bakersfield) are not subsidized. The Authority dedicated bus over the Tehachapi range wil charge $13 and the Greyhound Bus on the route charges $12.  See: </t>
    </r>
    <r>
      <rPr>
        <sz val="7"/>
        <color rgb="FF0000FF"/>
        <rFont val="Calibri (Body)_x0000_"/>
      </rPr>
      <t>https://www.greyhound.com/en/ecommerce/schedule</t>
    </r>
    <r>
      <rPr>
        <sz val="7"/>
        <color theme="1"/>
        <rFont val="Calibri (Body)_x0000_"/>
      </rPr>
      <t xml:space="preserve">. Note: Although Dedicated Authority Buses serve Van Nuys, West LA, and Santa Anita during  SV-CV Period (2029-2032) this is the only instance of such service; making analysis of these Orgins and Destinations an anamoly and leading the Authors to substitute OC Gateway and Anaheim. </t>
    </r>
  </si>
  <si>
    <r>
      <t xml:space="preserve">See Web site Folders of Commerical Air Services at: </t>
    </r>
    <r>
      <rPr>
        <sz val="6"/>
        <color rgb="FF0000FF"/>
        <rFont val="Calibri"/>
        <family val="2"/>
      </rPr>
      <t xml:space="preserve">https://sites.google.com/site/hsrcaliffr/home/2-1-major-reports---2018-plan/09-2018-if-you-build-it-they-will-not-come---the-sequel </t>
    </r>
    <r>
      <rPr>
        <sz val="6"/>
        <color theme="1"/>
        <rFont val="Calibri"/>
        <family val="2"/>
      </rPr>
      <t xml:space="preserve">
"
</t>
    </r>
  </si>
  <si>
    <r>
      <t>In November 2011, ten months after its first meeting,  the RTAP Chair’s presentation showed that HSR’s SF-LA Total Travel Time was 231minutes. Subtracting AB3034’s of 2hrs. 40minutes (160minutes) Run Time requirement leaves 71minutes, or a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t>
    </r>
    <r>
      <rPr>
        <sz val="6"/>
        <color rgb="FF0000FF"/>
        <rFont val="Calibri"/>
        <family val="2"/>
      </rPr>
      <t>: http://iti.northwestern.edu/publications/Lipinski/2011/Morning2.pdf</t>
    </r>
  </si>
  <si>
    <r>
      <t>In November 2011, ten months after its first meeting, the RTAP Chair’s presentation showed that HSR’s SF-LA Total Travel Time was 231minutes. Subtracting AB3034’s of 2hrs. 40minutes (160minutes) Run Time requirement leaves 71minutes, or a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t>
    </r>
    <r>
      <rPr>
        <sz val="6"/>
        <color rgb="FF0000FF"/>
        <rFont val="Calibri"/>
        <family val="2"/>
      </rPr>
      <t xml:space="preserve"> http://iti.northwestern.edu/publications/Lipinski/2011/Morning2.pdf</t>
    </r>
  </si>
  <si>
    <r>
      <t xml:space="preserve">In November 2011, ten months after its first meeting, RTAP Chair’s presentation showed that HSR’s SF-LA Total Travel Time was 231minutes. Subtracting AB3034’s of 2hrs. 40minutes (160minutes) Run Time requirement leaves 71minutes, of access-egress time or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 </t>
    </r>
    <r>
      <rPr>
        <sz val="6"/>
        <color rgb="FF0000FF"/>
        <rFont val="Calibri (Body)_x0000_"/>
      </rPr>
      <t>http://iti.northwestern.edu/publications/Lipinski/2011/Morning2.pdf</t>
    </r>
  </si>
  <si>
    <r>
      <rPr>
        <sz val="6"/>
        <color theme="1"/>
        <rFont val="Calibri"/>
        <family val="2"/>
      </rPr>
      <t>In November 2011, ten months after its first meeting, RTAP Chair’s presentation showed that HSR’s SF-LA Total Travel Time was 231minutes. Subtracting AB3034’s of 2hrs. 40minutes (160minutes) Run Time requirement leaves 71minutes or round-trip access+egress times of 142minutes. See: PDF 47 of Polzin, Steven; Koppelman, Frank and Proussaloglou, Kimon: Forecasting Revenue and Ridership for High Speed Rail. High Speed Rail-Perspectives</t>
    </r>
    <r>
      <rPr>
        <sz val="6"/>
        <color indexed="18"/>
        <rFont val="Calibri"/>
        <family val="2"/>
      </rPr>
      <t xml:space="preserve"> </t>
    </r>
    <r>
      <rPr>
        <sz val="6"/>
        <color theme="1"/>
        <rFont val="Calibri"/>
        <family val="2"/>
      </rPr>
      <t>and Prospects, Fifth Annual William O. Lipinski Symposium on Transportation, November 14, 2011. Found at:</t>
    </r>
    <r>
      <rPr>
        <sz val="6"/>
        <color rgb="FF0000FF"/>
        <rFont val="Calibri"/>
        <family val="2"/>
      </rPr>
      <t xml:space="preserve"> http://iti.northwestern.edu/publications/Lipinski/2011/Morning2.pdf</t>
    </r>
  </si>
  <si>
    <r>
      <rPr>
        <sz val="6"/>
        <color theme="1"/>
        <rFont val="Calibri"/>
        <family val="2"/>
      </rPr>
      <t>In November 2011, ten months after its first meeting, RTAP Chair’s presentation showed that HSR’s SF-LA Total Travel Time was 231minutes. Subtracting AB3034’s of 2hrs. 40minutes (160minutes) Run Time requirement leaves 71minutes or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t>
    </r>
    <r>
      <rPr>
        <sz val="6"/>
        <color indexed="18"/>
        <rFont val="Calibri"/>
        <family val="2"/>
      </rPr>
      <t xml:space="preserve"> </t>
    </r>
    <r>
      <rPr>
        <sz val="6"/>
        <color rgb="FF0000FF"/>
        <rFont val="Calibri"/>
        <family val="2"/>
      </rPr>
      <t>http://iti.northwestern.edu/publications/Lipinski/2011/Morning2.pdf</t>
    </r>
  </si>
  <si>
    <r>
      <rPr>
        <sz val="6"/>
        <color theme="1"/>
        <rFont val="Calibri"/>
        <family val="2"/>
      </rPr>
      <t>In November 2011, ten months after its first meeting, the RTAP Chair’s presentation showed that HSR’s SF-LA Total Travel Time was 231minutes. Subtracting AB3034’s of 2hrs. 40minutes (160minutes) Run Time requirement leaves 71minutes or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t>
    </r>
    <r>
      <rPr>
        <sz val="6"/>
        <color indexed="18"/>
        <rFont val="Calibri"/>
        <family val="2"/>
      </rPr>
      <t xml:space="preserve"> </t>
    </r>
    <r>
      <rPr>
        <sz val="6"/>
        <color rgb="FF0000FF"/>
        <rFont val="Calibri"/>
        <family val="2"/>
      </rPr>
      <t>http://iti.northwestern.edu/publications/Lipinski/2011/Morning2.pdf</t>
    </r>
  </si>
  <si>
    <r>
      <rPr>
        <sz val="6"/>
        <color theme="1"/>
        <rFont val="Calibri"/>
        <family val="2"/>
      </rPr>
      <t>In November 2011, ten months after its first meeting,  the RTAP Chair’s presentation showed that HSR’s SF-LA Total Travel Time was 231minutes. Subtracting AB3034’s of 2hrs. 40minutes (160minutes) Run Time requirement leaves 71minutes or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t>
    </r>
    <r>
      <rPr>
        <sz val="6"/>
        <color indexed="18"/>
        <rFont val="Calibri"/>
        <family val="2"/>
      </rPr>
      <t xml:space="preserve"> </t>
    </r>
    <r>
      <rPr>
        <sz val="6"/>
        <color rgb="FF0000FF"/>
        <rFont val="Calibri"/>
        <family val="2"/>
      </rPr>
      <t>http://iti.northwestern.edu/publications/Lipinski/2011/Morning2.pdf</t>
    </r>
  </si>
  <si>
    <t>In November 2011, ten months after its first meeting, the RTAP Chair’s presentation showed that HSR’s SF-LA Total Travel Time was 231minutes. Subtracting AB3034’s of 2hrs. 40minutes (160minutes) Run Time requirement leaves 71minutes, or a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 http://iti.northwestern.edu/publications/Lipinski/2011/Morning2.pdf</t>
  </si>
  <si>
    <r>
      <t>In November 2011, ten months after its first meeting, the RTAP Chair’s presentation showed that HSR’s SF-LA Total Travel Time was 231minutes. Subtracting AB3034’s of 2hrs. 40minutes (160minutes) Run Time requirement leaves 71minutes, or a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t>
    </r>
    <r>
      <rPr>
        <sz val="6"/>
        <color rgb="FF0000FF"/>
        <rFont val="Calibri (Body)_x0000_"/>
      </rPr>
      <t xml:space="preserve"> http://iti.northwestern.edu/publications/Lipinski/2011/Morning2.pdf</t>
    </r>
  </si>
  <si>
    <r>
      <rPr>
        <sz val="6"/>
        <color theme="1"/>
        <rFont val="Calibri"/>
        <family val="2"/>
      </rPr>
      <t>In November 2011, ten months after its first meeting, the RTAP Chair’s presentation showed that HSR’s SF-LA Total Travel Time was 231minutes. Subtracting AB3034’s of 2hrs. 40minutes (160minutes) Run Time requirement leaves 71minutes or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t>
    </r>
    <r>
      <rPr>
        <sz val="6"/>
        <color indexed="18"/>
        <rFont val="Calibri"/>
        <family val="2"/>
      </rPr>
      <t xml:space="preserve"> </t>
    </r>
    <r>
      <rPr>
        <sz val="6"/>
        <color rgb="FF0000FF"/>
        <rFont val="Calibri"/>
        <family val="2"/>
      </rPr>
      <t>http://iti.northwestern.edu/publications/Lipinski/2011/Morning2.pdf</t>
    </r>
    <r>
      <rPr>
        <sz val="6"/>
        <color indexed="18"/>
        <rFont val="Calibri"/>
        <family val="2"/>
      </rPr>
      <t xml:space="preserve">
</t>
    </r>
  </si>
  <si>
    <r>
      <rPr>
        <sz val="6"/>
        <color theme="1"/>
        <rFont val="Calibri"/>
        <family val="2"/>
      </rPr>
      <t>In November 2011, ten months after its first meeting, the RTAP Chair’s presentation showed that HSR’s SF-LA Total Travel Time was 231minutes. Subtracting AB3034’s of 2hrs. 40minutes (160minutes) Run Time requirement leaves 71minutes or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t>
    </r>
    <r>
      <rPr>
        <sz val="6"/>
        <color rgb="FF0000FF"/>
        <rFont val="Calibri"/>
        <family val="2"/>
      </rPr>
      <t xml:space="preserve"> http://iti.northwestern.edu/publications/Lipinski/2011/Morning2.pdf</t>
    </r>
  </si>
  <si>
    <r>
      <rPr>
        <sz val="6"/>
        <color theme="1"/>
        <rFont val="Calibri"/>
        <family val="2"/>
      </rPr>
      <t>In November 2011, ten months after its first meeting, the RTAP Chair’s presentation showed that HSR’s SF-LA Total Travel Time was 231minutes. Subtracting AB3034’s of 2hrs. 40minutes (160minutes) Run Time requirement leaves 71minutes or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t>
    </r>
    <r>
      <rPr>
        <sz val="6"/>
        <color indexed="12"/>
        <rFont val="Calibri"/>
        <family val="2"/>
      </rPr>
      <t xml:space="preserve"> at: http://iti.northwestern.edu/publications/Lipinski/2011/Morning2.pdf
"
</t>
    </r>
  </si>
  <si>
    <r>
      <t xml:space="preserve">The source of $23 is the average for round-trip  access and egress costs is derived from: “As with air travel, both an access fee and an egress fee ranging from $15 to $31 round trip are part of the HST average total costs.” found on p. 3-2-30 [PDF 261] Bay Area to Central Valley HST Final Program EIR/EIS, Volume 1: Report, May 2008; prepared by the US Dept. of Transportation/Federal Railroad Administration and the California High-Speed Rail Authority found at: </t>
    </r>
    <r>
      <rPr>
        <sz val="6"/>
        <color rgb="FF0000FF"/>
        <rFont val="Calibri"/>
        <family val="2"/>
      </rPr>
      <t>http://www.hsr.ca.gov/Programs/Environmental_Planning/bay_area_2008.html</t>
    </r>
    <r>
      <rPr>
        <sz val="6"/>
        <color theme="1"/>
        <rFont val="Calibri"/>
        <family val="2"/>
      </rPr>
      <t xml:space="preserve">.  Note: We assumed that this $23 includes parking as well as driving costs, or the costs of public conveyance to and from the Origin and Destination HSR stations
"
</t>
    </r>
  </si>
  <si>
    <t xml:space="preserve">Only Bakersfield (BFL) to destination mileage is used for the computation as the San Diego-LAUS fares on Amtrak's Pacific SurfPeriodr and the trans-Tehachapi Range costs are computed elsewhere. Formulas found on p. 2-6 {PDF 26] of 2018 Business Plan Ridership and Revenue Forecasts, Technical Supporting Document
</t>
  </si>
  <si>
    <t xml:space="preserve">Only Bakersfield to destination mileage is used for the computation as the San Diego-LAUS fares on Amtrak's Pacific SurfPeriodr and the trans-Tehachapi Range costs are computed elsewhere. Formulas found on p. 2-5 {PDF 25] of 2018 Business Plan Ridership and Revenue Forecasts, Technical Supporting Document
</t>
  </si>
  <si>
    <r>
      <t xml:space="preserve">The source of $23 is the average for round-trip  access and egress costs is derived from: “As with air travel, both an access fee and an egress fee ranging from $15 to $31 round trip are part of the HST average total costs.” found on p. 3-2-30 [PDF 261] Bay Area to Central Valley HST Final Program EIR/EIS, Volume 1: Report, May 2008; prepared by the US Dept. of Transportation/Federal Railroad Administration and the California High-Speed Rail Authority found at: </t>
    </r>
    <r>
      <rPr>
        <sz val="6"/>
        <color rgb="FF0000FF"/>
        <rFont val="Calibri (Body)_x0000_"/>
      </rPr>
      <t>http://www.hsr.ca.gov/Programs/Environmental_Planning/bay_area_2008.html</t>
    </r>
    <r>
      <rPr>
        <sz val="6"/>
        <color theme="1"/>
        <rFont val="Calibri (Body)_x0000_"/>
      </rPr>
      <t xml:space="preserve">.  Note: We assumed that this $23 includes parking as well as driving costs, or the costs of public conveyance to and from the Origin and Destination HSR stations
</t>
    </r>
  </si>
  <si>
    <r>
      <t xml:space="preserve">"The source of $23 is the average for round-trip  access and egress costs is derived from: “As with air travel, both an access fee and an egress fee ranging from $15 to $31 round trip are part of the HST average total costs.” found on p. 3-2-30 [PDF 261] Bay Area to Central Valley HST Final Program EIR/EIS, Volume 1: Report, May 2008; prepared by the US Dept. of Transportation/Federal Railroad Administration and the California High-Speed Rail Authority found at: </t>
    </r>
    <r>
      <rPr>
        <sz val="6"/>
        <color rgb="FF0000FF"/>
        <rFont val="Calibri (Body)_x0000_"/>
      </rPr>
      <t>http://www.hsr.ca.gov/Programs/Environmental_Planning/bay_area_2008.html</t>
    </r>
    <r>
      <rPr>
        <sz val="6"/>
        <color theme="1"/>
        <rFont val="Calibri (Body)_x0000_"/>
      </rPr>
      <t>.  Note: We assumed that this $23 includes parking as well as driving costs, or the costs of public conveyance to and from the Origin and Destination HSR stations
"</t>
    </r>
  </si>
  <si>
    <r>
      <t>The source of $23 is the average for round-trip  access and egress costs is derived from: “As with air travel, both an access fee and an egress fee ranging from $15 to $31 round trip are part of the HST average total costs.” found on p. 3-2-30 [PDF 261] Bay Area to Central Valley HST Final Program EIR/EIS, Volume 1: Report, May 2008; prepared by the US Dept. of Transportation/Federal Railroad Administration and the California High-Speed Rail Authority found at:</t>
    </r>
    <r>
      <rPr>
        <sz val="6"/>
        <color rgb="FF0000FF"/>
        <rFont val="Calibri (Body)_x0000_"/>
      </rPr>
      <t xml:space="preserve"> http://www.hsr.ca.gov/Programs/Environmental_Planning/bay_area_2008.html</t>
    </r>
    <r>
      <rPr>
        <sz val="6"/>
        <color theme="1"/>
        <rFont val="Calibri"/>
        <family val="2"/>
        <scheme val="minor"/>
      </rPr>
      <t xml:space="preserve">.  Note: We assumed that this $23 includes parking as well as driving costs, or the costs of public conveyance to and from the Origin and Destination HSR stations
</t>
    </r>
  </si>
  <si>
    <r>
      <t xml:space="preserve">"The source of $23 is the average for round-trip  access and egress costs is derived from: “As with air travel, both an access fee and an egress fee ranging from $15 to $31 round trip are part of the HST average total costs.” found on p. 3-2-30 [PDF 261] Bay Area to Central Valley HST Final Program EIR/EIS, Volume 1: Report, May 2008; prepared by the US Dept. of Transportation/Federal Railroad Administration and the California High-Speed Rail Authority found at: </t>
    </r>
    <r>
      <rPr>
        <sz val="6"/>
        <color rgb="FF0000FF"/>
        <rFont val="Calibri"/>
        <family val="2"/>
      </rPr>
      <t>http://www.hsr.ca.gov/Programs/Environmental_Planning/bay_area_2008.html</t>
    </r>
    <r>
      <rPr>
        <sz val="6"/>
        <color indexed="8"/>
        <rFont val="Calibri"/>
        <family val="2"/>
      </rPr>
      <t xml:space="preserve">.  Note: We assumed that this $23 includes parking as well as driving costs, or the costs of public conveyance to and from the Origin and Destination HSR stations
"
</t>
    </r>
  </si>
  <si>
    <r>
      <t>See Web site Folders of Commerical Air Services at:</t>
    </r>
    <r>
      <rPr>
        <sz val="6"/>
        <color rgb="FF0000FF"/>
        <rFont val="Calibri (Body)_x0000_"/>
      </rPr>
      <t xml:space="preserve"> https://sites.google.com/site/hsrcaliffr/home/2-1-major-reports---2018-plan/09-2018-if-you-build-it-they-will-not-come---the-sequel </t>
    </r>
    <r>
      <rPr>
        <sz val="6"/>
        <color theme="1"/>
        <rFont val="Calibri (Body)_x0000_"/>
      </rPr>
      <t xml:space="preserve">
"
</t>
    </r>
  </si>
  <si>
    <r>
      <t xml:space="preserve">See Web site Folders of Commerical Air Services at: </t>
    </r>
    <r>
      <rPr>
        <sz val="6"/>
        <color rgb="FF0000FF"/>
        <rFont val="Calibri"/>
        <family val="2"/>
        <scheme val="minor"/>
      </rPr>
      <t xml:space="preserve">https://sites.google.com/site/hsrcaliffr/home/2-1-major-reports---2018-plan/09-2018-if-you-build-it-they-will-not-come---the-sequel </t>
    </r>
    <r>
      <rPr>
        <sz val="6"/>
        <color rgb="FF000000"/>
        <rFont val="Calibri"/>
        <family val="2"/>
        <scheme val="minor"/>
      </rPr>
      <t xml:space="preserve">
"
</t>
    </r>
  </si>
  <si>
    <t xml:space="preserve">SV-CV Period:    Run Time HSR Bakerfield to San Jose (for Monterey) or Fresno or Madera (for Sacramento).  </t>
  </si>
  <si>
    <t>SV-CV Period:        Transfer Times (30minutes for San Diego bound) and 15minutes for San Jose and Sacramento passengers</t>
  </si>
  <si>
    <r>
      <t xml:space="preserve"> Run Time Amtrak Pacific SurfPeriodr for LAUS-San Diego is 170minutes .  For the 170minute Amtrak Run Time and $35.65 fare of Pacific Surfliner LAUS-San Diego, see:</t>
    </r>
    <r>
      <rPr>
        <sz val="6"/>
        <color rgb="FF0000FF"/>
        <rFont val="Calibri (Body)_x0000_"/>
      </rPr>
      <t xml:space="preserve"> https://tickets.amtrak.com/itd/amtrak </t>
    </r>
  </si>
  <si>
    <t>SV-CV Period:</t>
  </si>
  <si>
    <t>Redding-Fresno/323miles</t>
  </si>
  <si>
    <t>Redding--San Jose/465miles</t>
  </si>
  <si>
    <t>Redding-Los Angeles/590miles</t>
  </si>
  <si>
    <t>Redding-San Diego/710miles</t>
  </si>
  <si>
    <t>Yosemite Valley-San Francisco/                                      292miles</t>
  </si>
  <si>
    <t>Yosemite Valley-Los Angeles/                                    360miles</t>
  </si>
  <si>
    <t>South Lake Tahoe-Fresno/274miles</t>
  </si>
  <si>
    <t>South Lake Tahoe--San Jose/425miles</t>
  </si>
  <si>
    <t>South Lake Tahoe-Los Angeles/541miles</t>
  </si>
  <si>
    <t>South Lake-Los Angeles-San Diego/661miles</t>
  </si>
  <si>
    <t>Yosemite Valley-Bakersfield (BFL)/200miles</t>
  </si>
  <si>
    <t>Yosemite Valley-Sacramento/265miles</t>
  </si>
  <si>
    <t>Yosemite Valley-San Francisco/292miles</t>
  </si>
  <si>
    <t>Yosemite Valley-Los Angeles/360miles</t>
  </si>
  <si>
    <t>SV-CV Period:  Total Travel Times and Costs for Intra-regional Round-Trips HSR versus Auto travel: n. b. if Auto travel between the furthest apart two HSR stations is cheaper or faster (or both) then it is cheaper or faster (or both) between intermediate HSR stations.</t>
  </si>
  <si>
    <r>
      <rPr>
        <sz val="7"/>
        <color theme="1"/>
        <rFont val="Calibri"/>
        <family val="2"/>
      </rPr>
      <t>From</t>
    </r>
    <r>
      <rPr>
        <sz val="7"/>
        <color indexed="12"/>
        <rFont val="Calibri"/>
        <family val="2"/>
      </rPr>
      <t xml:space="preserve"> www. googemaps.com.</t>
    </r>
    <r>
      <rPr>
        <sz val="7"/>
        <color indexed="18"/>
        <rFont val="Calibri"/>
        <family val="2"/>
      </rPr>
      <t xml:space="preserve">  </t>
    </r>
    <r>
      <rPr>
        <sz val="7"/>
        <color theme="1"/>
        <rFont val="Calibri"/>
        <family val="2"/>
      </rPr>
      <t>Volume 1 [PDF 224] of Bay Area to Central Valley HST Final Program EIR/EIS of 2008 says that only auto travel does not require a modal change.</t>
    </r>
    <r>
      <rPr>
        <sz val="7"/>
        <color indexed="18"/>
        <rFont val="Calibri"/>
        <family val="2"/>
      </rPr>
      <t xml:space="preserve"> Found at</t>
    </r>
    <r>
      <rPr>
        <sz val="7"/>
        <color theme="1"/>
        <rFont val="Calibri"/>
        <family val="2"/>
      </rPr>
      <t>:</t>
    </r>
    <r>
      <rPr>
        <sz val="7"/>
        <color indexed="17"/>
        <rFont val="Calibri"/>
        <family val="2"/>
      </rPr>
      <t xml:space="preserve"> </t>
    </r>
    <r>
      <rPr>
        <sz val="7"/>
        <color indexed="12"/>
        <rFont val="Calibri"/>
        <family val="2"/>
      </rPr>
      <t xml:space="preserve">http://www.hsr.ca.gov/Programs/Environmental_Planning/bay_area_2008.html.  </t>
    </r>
  </si>
  <si>
    <r>
      <t>The 15% uplift on an Auto round-trip is reasonable given that: 1) for a one-way trip, Table 1.2-3 p. 1-9 [PDF 82] of Bay Area to Central Valley Final Program EIR/EIS, May 2008 shows that between 2000 and 2030 an Auto trip’s Total Travel Time increases from 2% (Sacramento-San Jose) up to 6.9% for BUR-San Jose, with LA-SF at +5.6%, and 2).Second, Americans lose 0%-30% of their daily commute on road traffic delays. See:</t>
    </r>
    <r>
      <rPr>
        <sz val="7"/>
        <color rgb="FF0000FF"/>
        <rFont val="Calibri (Body)_x0000_"/>
      </rPr>
      <t xml:space="preserve"> http://abcnews.go.com/US/time-americans-waste-traffic/story?id=33313765 </t>
    </r>
  </si>
  <si>
    <r>
      <rPr>
        <sz val="7"/>
        <color theme="1"/>
        <rFont val="Calibri"/>
        <family val="2"/>
      </rPr>
      <t>Metrolink fares at:</t>
    </r>
    <r>
      <rPr>
        <sz val="7"/>
        <color indexed="10"/>
        <rFont val="Calibri"/>
        <family val="2"/>
      </rPr>
      <t xml:space="preserve"> </t>
    </r>
    <r>
      <rPr>
        <sz val="7"/>
        <color indexed="12"/>
        <rFont val="Calibri"/>
        <family val="2"/>
      </rPr>
      <t>http://www.metrolinktrains.com/</t>
    </r>
    <r>
      <rPr>
        <sz val="7"/>
        <color indexed="18"/>
        <rFont val="Calibri"/>
        <family val="2"/>
      </rPr>
      <t xml:space="preserve"> Amtrak San Joaquin fare found at:</t>
    </r>
    <r>
      <rPr>
        <sz val="7"/>
        <color indexed="12"/>
        <rFont val="Calibri"/>
        <family val="2"/>
      </rPr>
      <t xml:space="preserve"> https://tickets.amtrak.com/itd/amtrak.  </t>
    </r>
    <r>
      <rPr>
        <sz val="7"/>
        <color theme="1"/>
        <rFont val="Calibri"/>
        <family val="2"/>
      </rPr>
      <t>Caltrain fares found at</t>
    </r>
    <r>
      <rPr>
        <sz val="7"/>
        <color indexed="10"/>
        <rFont val="Calibri"/>
        <family val="2"/>
      </rPr>
      <t>:</t>
    </r>
    <r>
      <rPr>
        <sz val="7"/>
        <color indexed="12"/>
        <rFont val="Calibri"/>
        <family val="2"/>
      </rPr>
      <t xml:space="preserve"> http://www.caltrain.com/Fares/farechart.html.</t>
    </r>
    <r>
      <rPr>
        <sz val="7"/>
        <color indexed="18"/>
        <rFont val="Calibri"/>
        <family val="2"/>
      </rPr>
      <t xml:space="preserve"> </t>
    </r>
    <r>
      <rPr>
        <sz val="7"/>
        <color theme="1"/>
        <rFont val="Calibri"/>
        <family val="2"/>
      </rPr>
      <t xml:space="preserve">Cambridge Systematics’ (CS) final technical memorandum of Ridership and Revenue Forecasting of April 12, 2012, Section 5.2, p. 5-5 says, </t>
    </r>
    <r>
      <rPr>
        <i/>
        <sz val="7"/>
        <color theme="1"/>
        <rFont val="Calibri"/>
        <family val="2"/>
      </rPr>
      <t xml:space="preserve"> “Note that the existing San Joaquin service south of Merced to Bakersfield is assumed to be discontinued upon the initiation of HST service.”</t>
    </r>
  </si>
  <si>
    <r>
      <t>See: Independent Determination That the Travel Time Requirements of PROP 1A/AB3034 Cannot Be Me</t>
    </r>
    <r>
      <rPr>
        <u/>
        <sz val="6"/>
        <color theme="1"/>
        <rFont val="Verdana"/>
        <family val="2"/>
      </rPr>
      <t>t</t>
    </r>
    <r>
      <rPr>
        <sz val="6"/>
        <color theme="1"/>
        <rFont val="Verdana"/>
        <family val="2"/>
      </rPr>
      <t>, Paul S. Jones; March 13, 2015. Madera-Bakersfield is Fresno-Bakersfield plus the 33miles between Fresno and Madera. Merced Bakersfield adds 24miles to that.</t>
    </r>
  </si>
  <si>
    <r>
      <t xml:space="preserve">In November 2011 the RTAP Chair’s presentation showed that HSR’s SF-LA Total Travel Time was 231minutes. Subtracting AB3034’s 2hrs. 40minute (160minutes) Run Time requirement leaves 71minutes - or round-trip access+egress times of 142minutes. See: PDF 47 of Polzin, Steven; Koppelman, Frank and Proussaloglou, Kimon: Forecasting Revenue and Ridership for High Speed Rail. High Speed Rail-Perspectives and Prospects, Fifth Annual William O. Lipinski Symposium on Transportation, November 14, 2011. Found at: </t>
    </r>
    <r>
      <rPr>
        <sz val="6.5"/>
        <color rgb="FF0000FF"/>
        <rFont val="Calibri"/>
        <family val="2"/>
      </rPr>
      <t>http://iti.northwestern.edu/publications/Lipinski/2011/Morning2</t>
    </r>
    <r>
      <rPr>
        <sz val="6.5"/>
        <color theme="1"/>
        <rFont val="Calibri"/>
        <family val="2"/>
      </rPr>
      <t xml:space="preserve">
"
</t>
    </r>
  </si>
  <si>
    <r>
      <t>See California High Speed Rail 2018 Business Plan, Ridership and Revenue Forecasting, Technical Supporting Document Table 2.2, p. 2-5 [PDF 25] and Bus fares on PDF 26.See p. 2-6 [PDF 26] of 2018 Business Plan, Ridership and Revenue Forecasting, Technical Supporting Document that says</t>
    </r>
    <r>
      <rPr>
        <i/>
        <sz val="6.5"/>
        <color theme="1"/>
        <rFont val="Calibri"/>
        <family val="2"/>
      </rPr>
      <t xml:space="preserve"> "$1 from</t>
    </r>
    <r>
      <rPr>
        <sz val="6.5"/>
        <color theme="1"/>
        <rFont val="Calibri"/>
        <family val="2"/>
      </rPr>
      <t xml:space="preserve"> </t>
    </r>
    <r>
      <rPr>
        <i/>
        <sz val="6.5"/>
        <color theme="1"/>
        <rFont val="Calibri"/>
        <family val="2"/>
      </rPr>
      <t xml:space="preserve">Stockton/Modesto/Denair/Merced/Madera/Fresno Amtrak to Madera." </t>
    </r>
  </si>
  <si>
    <r>
      <t xml:space="preserve">SV-CV Period  Total Travel Times and Total Travel Costs for Intra-regional round-trips by HSR and Auto for miles less than the longest inside that specific region. n. b. if Auto travel between the furthest two HSR stations is cheaper or faster (or both) then it is cheaper or faster (or both) between intermediate HSR stations.  </t>
    </r>
    <r>
      <rPr>
        <b/>
        <sz val="8"/>
        <color theme="1"/>
        <rFont val="Calibri"/>
        <family val="2"/>
      </rPr>
      <t>Note</t>
    </r>
    <r>
      <rPr>
        <sz val="8"/>
        <color theme="1"/>
        <rFont val="Calibri"/>
        <family val="2"/>
      </rPr>
      <t>: Millbrae and Palmdale are not served by HSR during 2029-2033.</t>
    </r>
  </si>
  <si>
    <r>
      <rPr>
        <i/>
        <sz val="7"/>
        <color theme="1"/>
        <rFont val="Calibri (Body)_x0000_"/>
      </rPr>
      <t>"Unlike common carrier transportation modes (air, bus, or rail), the automobile does not require or depend on intermodal connections to get from the trip origin to the trip destination."</t>
    </r>
    <r>
      <rPr>
        <sz val="7"/>
        <color theme="1"/>
        <rFont val="Calibri (Body)_x0000_"/>
      </rPr>
      <t xml:space="preserve"> See p. 3.2-25 [PDF 252] of Bay Area to Central Valley Final Program EIR/EIS, May 2008. Driiving Miles found at:</t>
    </r>
    <r>
      <rPr>
        <sz val="7"/>
        <color rgb="FF0000FF"/>
        <rFont val="Calibri (Body)_x0000_"/>
      </rPr>
      <t xml:space="preserve"> www.googlemaps.com</t>
    </r>
  </si>
  <si>
    <t>SV-CV Period  Total Travel Times and Total Travel Costs for Intra-regional round-trips by HSR and Auto for miles less than the longest inside that specific region. N. b. if Auto travel between the furthest two HSR stations is cheaper or faster (or both) then it is cheaper or faster (or both) between intermediate HSR stations.  Note: Millbrae and Palmdale are not served by HSR during 2029-2033.</t>
  </si>
  <si>
    <r>
      <t xml:space="preserve">Cambridge Systematics’ (CS) final technical memorandum of Ridership and Revenue Forecasting of April 12, 2012, Section 5.2, p. 5-5 says, </t>
    </r>
    <r>
      <rPr>
        <i/>
        <sz val="7"/>
        <color rgb="FF000000"/>
        <rFont val="Calibri"/>
        <family val="2"/>
        <scheme val="minor"/>
      </rPr>
      <t>“Note that the existing San Joaquin service south of Merced to Bakersfield is assumed to be discontinued upon the initiation of HST service.”</t>
    </r>
  </si>
  <si>
    <r>
      <t>See:</t>
    </r>
    <r>
      <rPr>
        <u/>
        <sz val="6"/>
        <color theme="1"/>
        <rFont val="Verdana"/>
        <family val="2"/>
      </rPr>
      <t xml:space="preserve"> </t>
    </r>
    <r>
      <rPr>
        <sz val="6"/>
        <color theme="1"/>
        <rFont val="Verdana"/>
        <family val="2"/>
      </rPr>
      <t xml:space="preserve">Independent Determination That the Travel Time Requirements of PROP 1A/AB3034 Cannot Be Met, Paul S. Jones; March 13, 2015. Merced-Bakersfield is Merced-Madera by Authority Bus, then Madera-KT Hanford and Madera-Bakersfield by HSR. </t>
    </r>
  </si>
  <si>
    <r>
      <rPr>
        <b/>
        <sz val="8"/>
        <color theme="1"/>
        <rFont val="Calibri"/>
        <family val="2"/>
        <scheme val="minor"/>
      </rPr>
      <t xml:space="preserve">These are Total Travel Costs and Total Travel Time comparisons. </t>
    </r>
    <r>
      <rPr>
        <sz val="8"/>
        <color theme="1"/>
        <rFont val="Calibri"/>
        <family val="2"/>
        <scheme val="minor"/>
      </rPr>
      <t xml:space="preserve">Caltrain, Amtrak San Joaquin Valley and Metrolink operate with state/federal subsidies.  The Authority's fares are supposedly not reliant on operating subsidies to have the HSR system operationally profitable. </t>
    </r>
  </si>
  <si>
    <r>
      <rPr>
        <sz val="6"/>
        <color theme="1"/>
        <rFont val="Calibri"/>
        <family val="2"/>
      </rPr>
      <t xml:space="preserve"> LAUS-Long Beach Metro Blue Rail fare of $1.75 is added here because there is no HSR service between those stations.  Metrolink LAUS-OC Gateway takes 45minutes and costs $6.50 one way.  See:</t>
    </r>
    <r>
      <rPr>
        <sz val="6"/>
        <color indexed="18"/>
        <rFont val="Calibri"/>
        <family val="2"/>
      </rPr>
      <t xml:space="preserve"> </t>
    </r>
    <r>
      <rPr>
        <sz val="6"/>
        <color rgb="FF0000FF"/>
        <rFont val="Calibri"/>
        <family val="2"/>
      </rPr>
      <t>https://www.metrolinktrains.com/ticketsOverview/ticket-info/price-finder/</t>
    </r>
    <r>
      <rPr>
        <sz val="6"/>
        <color indexed="18"/>
        <rFont val="Calibri"/>
        <family val="2"/>
      </rPr>
      <t xml:space="preserve">. </t>
    </r>
    <r>
      <rPr>
        <sz val="6"/>
        <color theme="1"/>
        <rFont val="Calibri"/>
        <family val="2"/>
      </rPr>
      <t>The LAUS-San Diego Amtrak fare is $35.65: see https://www.amtrak.com/tickets-reservations</t>
    </r>
    <r>
      <rPr>
        <sz val="6"/>
        <color indexed="18"/>
        <rFont val="Calibri"/>
        <family val="2"/>
      </rPr>
      <t xml:space="preserve">
</t>
    </r>
  </si>
  <si>
    <r>
      <rPr>
        <sz val="6"/>
        <color theme="1"/>
        <rFont val="Calibri"/>
        <family val="2"/>
      </rPr>
      <t xml:space="preserve"> The LAUS-San Diego fare ($37) and the San Diego-Anaheim fare ($28) area from Amtrak's fare schedule. See:</t>
    </r>
    <r>
      <rPr>
        <sz val="6"/>
        <color rgb="FF0000FF"/>
        <rFont val="Calibri"/>
        <family val="2"/>
      </rPr>
      <t xml:space="preserve"> https://tickets.amtrak.com/itd/amtrak</t>
    </r>
  </si>
  <si>
    <r>
      <rPr>
        <sz val="6"/>
        <color theme="1"/>
        <rFont val="Calibri"/>
        <family val="2"/>
      </rPr>
      <t>HSR fares are from Table 2.2, p. 2-5 [PDF 25] of the  2018  Plan's Ridership and Revenue Forecasting, Techical Supporting Document. Metrolink fares north of LAUS are based on</t>
    </r>
    <r>
      <rPr>
        <sz val="6"/>
        <color rgb="FF0000FF"/>
        <rFont val="Calibri"/>
        <family val="2"/>
      </rPr>
      <t xml:space="preserve"> https://www.metrolinktrains.com/ticketsOverview/ticket-info/price-finder/</t>
    </r>
    <r>
      <rPr>
        <sz val="6"/>
        <color indexed="18"/>
        <rFont val="Calibri"/>
        <family val="2"/>
      </rPr>
      <t xml:space="preserve"> </t>
    </r>
    <r>
      <rPr>
        <sz val="6"/>
        <color theme="1"/>
        <rFont val="Calibri"/>
        <family val="2"/>
      </rPr>
      <t xml:space="preserve">Metrolink fares at: </t>
    </r>
    <r>
      <rPr>
        <sz val="6"/>
        <color rgb="FF0000FF"/>
        <rFont val="Calibri"/>
        <family val="2"/>
      </rPr>
      <t>https://www.metrolinktrains.com/ticketsOverview/ticket-info/price-finder/</t>
    </r>
  </si>
  <si>
    <t>South Lake Tahoe-Los Angeles/                              541miles</t>
  </si>
  <si>
    <t>FAT - SMF</t>
  </si>
  <si>
    <t>SV-CV Period:    Transfer Times in Fresno to board HSR train (minutes)</t>
  </si>
  <si>
    <t>SV-CV Period:          Authority HSR and Bus Run Times from Fresno to Bakersfield (to catch cross-Tehachapi bus), Sacramento and San Francisco (minutes)</t>
  </si>
  <si>
    <t>For Authority Train and Bus Run Times, see Table A.1.1 and Table A.1.2, p. A-1 [PDF 61] of the 2018 Business Plan, Ridership and Revenue Forecasting, Technical Supporting Document.  Note: The Fresno-Sacramento route includes 23minutes on an HSR train Fresno-Madera. The passenger then changes to an Authority bus and takes a 240minute ride to Sacramento</t>
  </si>
  <si>
    <t>SV-CV Period:      Transfer Time in Madera to board HSR train to San Francisco or Bakersfield to catch the Authority's cross-Tehachapi bus or to take Authority bus to Sacramento (minutes)</t>
  </si>
  <si>
    <t>SV-CV Period: Bakersfield-LA Authority Bus Run Time over the Tehachapis (minutes) and Authority Bus from Madera to Sacramento</t>
  </si>
  <si>
    <r>
      <t xml:space="preserve">The one-way bus Greyhound bus fare for the journey, Yosemite Valley Lodge - Fresno, takes 4hrs. 22minutes (262minutes) and coss $23.   See: Web Site-Folder 8, Commerical Bus Services, based on </t>
    </r>
    <r>
      <rPr>
        <sz val="6"/>
        <color rgb="FF0000FF"/>
        <rFont val="Calibri (Body)_x0000_"/>
      </rPr>
      <t>https://www.greyhound.com/en/ecommerce/schedule</t>
    </r>
  </si>
  <si>
    <t>SV-CV Period:               Greyhound bus fares, Yosemite Valley to Fresno, before HSR travel commences (does not include access cost)</t>
  </si>
  <si>
    <t>SV-CV Period:                One-way fares HSR Fresno to Bakersfield (both for Bakersfield and to take cross Tehachapi bus) and San Francisco or to Madera to take the Madera-Sacramento Authority bus</t>
  </si>
  <si>
    <r>
      <t xml:space="preserve"> “$13  from Bakersfield to Southern California locations . . </t>
    </r>
    <r>
      <rPr>
        <sz val="6"/>
        <color theme="1"/>
        <rFont val="Calibri (Body)_x0000_"/>
      </rPr>
      <t>and</t>
    </r>
    <r>
      <rPr>
        <i/>
        <sz val="6"/>
        <color theme="1"/>
        <rFont val="Calibri (Body)_x0000_"/>
      </rPr>
      <t xml:space="preserve"> . . $10 from Sacramento, Elk Grove, and Lodi to Madera.”  </t>
    </r>
    <r>
      <rPr>
        <sz val="6"/>
        <color theme="1"/>
        <rFont val="Calibri (Body)_x0000_"/>
      </rPr>
      <t xml:space="preserve">See  2018 Business Plan: Ridership and Revenue Forecasting, Technical Supporting Documents, p. 2-6  [PDF 26].  </t>
    </r>
  </si>
  <si>
    <t xml:space="preserve">False Phase 1: Greyhound bus tansport times to get to the nearest HSR station, piror to starting HSR-inclusive travel (minutes) </t>
  </si>
  <si>
    <r>
      <t>Sacramento-Burbank (BUR)</t>
    </r>
    <r>
      <rPr>
        <b/>
        <sz val="7"/>
        <color indexed="8"/>
        <rFont val="Calibri"/>
        <family val="2"/>
      </rPr>
      <t>/437</t>
    </r>
    <r>
      <rPr>
        <b/>
        <sz val="9"/>
        <color indexed="8"/>
        <rFont val="Calibri"/>
        <family val="2"/>
      </rPr>
      <t>miles</t>
    </r>
  </si>
  <si>
    <t xml:space="preserve">Regional </t>
  </si>
  <si>
    <t>Route Summaries</t>
  </si>
  <si>
    <t xml:space="preserve">     SCAG-SJV</t>
  </si>
  <si>
    <t>HSR - yellow</t>
  </si>
  <si>
    <t>Auto/Air - green</t>
  </si>
  <si>
    <t xml:space="preserve">    MTC-SJV</t>
  </si>
  <si>
    <t xml:space="preserve">    SACOG-MTC</t>
  </si>
  <si>
    <t xml:space="preserve">   SACOG-SJV</t>
  </si>
  <si>
    <t xml:space="preserve">   SANDAG-SCAG</t>
  </si>
  <si>
    <t>Regional Route Summaries</t>
  </si>
  <si>
    <t>Column Total</t>
  </si>
  <si>
    <t>Region to Region Total</t>
  </si>
  <si>
    <t>Adjacent Total</t>
  </si>
  <si>
    <t xml:space="preserve">Auto and Air Wins </t>
  </si>
  <si>
    <t>Check Total</t>
  </si>
  <si>
    <t xml:space="preserve">               HSR Wins as a % of Adjacent Regions Total</t>
  </si>
  <si>
    <t xml:space="preserve">                                             Regional Route Summaries</t>
  </si>
  <si>
    <t>San Jose-Modesto/210miles</t>
  </si>
  <si>
    <t xml:space="preserve">SV-CV Period:            HSR Run Times KT Hanford-Bakersfield, San Jose-Madera and Fresno-Bakersfield (minutes). </t>
  </si>
  <si>
    <t>SV-CV Period:  San Jose-Madera</t>
  </si>
  <si>
    <t>SV-CV Period:            HSR one-way fares KT Hanford-Bakersfield, San Jose-Madera, and Fresno-Bakersfield</t>
  </si>
  <si>
    <t>SV-CV Period:             Authority HSR bus fare to cross the Tehachapi range to BUR or Madera-Modesto</t>
  </si>
  <si>
    <r>
      <t xml:space="preserve">See p. 2-6 [PDF 26] of 2018 Business Plan, Ridership and Revenue Forecasting, Technical Supporting Document that says, </t>
    </r>
    <r>
      <rPr>
        <i/>
        <sz val="6"/>
        <color theme="1"/>
        <rFont val="Calibri"/>
        <family val="2"/>
      </rPr>
      <t>"$13 from Bakersfield to Southern California locations."</t>
    </r>
    <r>
      <rPr>
        <sz val="6"/>
        <color theme="1"/>
        <rFont val="Calibri"/>
        <family val="2"/>
      </rPr>
      <t xml:space="preserve"> and “$1 from Stockton/Modesto/Denair/Merced/Madera/Fresno Amtrak to Madera.” This is highly subsidized.</t>
    </r>
  </si>
  <si>
    <t>SJC - SMF</t>
  </si>
  <si>
    <t>San Jose-Modesto/                                              210miles</t>
  </si>
  <si>
    <t>Madera-Anaheim/311miles</t>
  </si>
  <si>
    <t>Madera-Burbank/276miles</t>
  </si>
  <si>
    <r>
      <t>Madera-Anaheim/                                             311</t>
    </r>
    <r>
      <rPr>
        <b/>
        <sz val="9"/>
        <color rgb="FF000000"/>
        <rFont val="Calibri"/>
        <family val="2"/>
      </rPr>
      <t>miles</t>
    </r>
  </si>
  <si>
    <t>Madera-Burbank/                                                   276miles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</si>
</sst>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quot;$&quot;#,##0;[Red]&quot;$&quot;#,##0"/>
  </numFmts>
  <fonts count="342">
    <font>
      <sz val="12"/>
      <color theme="1"/>
      <name val="Calibri"/>
      <family val="2"/>
      <scheme val="minor"/>
    </font>
    <font>
      <sz val="11"/>
      <color indexed="8"/>
      <name val="Calibri"/>
      <family val="2"/>
    </font>
    <font>
      <sz val="12"/>
      <color indexed="8"/>
      <name val="Calibri"/>
      <family val="2"/>
    </font>
    <font>
      <b/>
      <sz val="9"/>
      <color indexed="12"/>
      <name val="Calibri"/>
      <family val="2"/>
    </font>
    <font>
      <b/>
      <sz val="9"/>
      <color indexed="10"/>
      <name val="Calibri"/>
      <family val="2"/>
    </font>
    <font>
      <b/>
      <sz val="12"/>
      <color indexed="10"/>
      <name val="Calibri"/>
      <family val="2"/>
    </font>
    <font>
      <sz val="12"/>
      <color indexed="10"/>
      <name val="Calibri"/>
      <family val="2"/>
    </font>
    <font>
      <b/>
      <sz val="9"/>
      <color indexed="8"/>
      <name val="Calibri"/>
      <family val="2"/>
    </font>
    <font>
      <b/>
      <sz val="9"/>
      <color indexed="8"/>
      <name val="Calibri"/>
      <family val="2"/>
    </font>
    <font>
      <b/>
      <sz val="9"/>
      <name val="Calibri"/>
      <family val="2"/>
    </font>
    <font>
      <b/>
      <sz val="12"/>
      <name val="Calibri"/>
      <family val="2"/>
    </font>
    <font>
      <sz val="9"/>
      <color indexed="8"/>
      <name val="Calibri"/>
      <family val="2"/>
    </font>
    <font>
      <b/>
      <sz val="8"/>
      <color indexed="10"/>
      <name val="Calibri"/>
      <family val="2"/>
    </font>
    <font>
      <sz val="9"/>
      <color indexed="8"/>
      <name val="Calibri"/>
      <family val="2"/>
    </font>
    <font>
      <sz val="9"/>
      <color indexed="17"/>
      <name val="Calibri"/>
      <family val="2"/>
    </font>
    <font>
      <b/>
      <sz val="9"/>
      <color indexed="17"/>
      <name val="Calibri"/>
      <family val="2"/>
    </font>
    <font>
      <b/>
      <sz val="7"/>
      <color indexed="8"/>
      <name val="Calibri"/>
      <family val="2"/>
    </font>
    <font>
      <b/>
      <sz val="7"/>
      <color indexed="10"/>
      <name val="Calibri"/>
      <family val="2"/>
    </font>
    <font>
      <b/>
      <sz val="7"/>
      <color indexed="12"/>
      <name val="Calibri"/>
      <family val="2"/>
    </font>
    <font>
      <b/>
      <sz val="7"/>
      <name val="Calibri"/>
      <family val="2"/>
    </font>
    <font>
      <b/>
      <sz val="7"/>
      <color indexed="17"/>
      <name val="Calibri"/>
      <family val="2"/>
    </font>
    <font>
      <sz val="7"/>
      <color indexed="8"/>
      <name val="Calibri"/>
      <family val="2"/>
    </font>
    <font>
      <sz val="9"/>
      <color indexed="18"/>
      <name val="Calibri"/>
      <family val="2"/>
    </font>
    <font>
      <sz val="7"/>
      <color indexed="10"/>
      <name val="Calibri"/>
      <family val="2"/>
    </font>
    <font>
      <sz val="7"/>
      <color indexed="12"/>
      <name val="Calibri"/>
      <family val="2"/>
    </font>
    <font>
      <sz val="7"/>
      <color indexed="8"/>
      <name val="Calibri"/>
      <family val="2"/>
    </font>
    <font>
      <sz val="9"/>
      <color indexed="10"/>
      <name val="Calibri"/>
      <family val="2"/>
    </font>
    <font>
      <sz val="7"/>
      <color indexed="17"/>
      <name val="Calibri"/>
      <family val="2"/>
    </font>
    <font>
      <b/>
      <sz val="7"/>
      <color indexed="18"/>
      <name val="Calibri"/>
      <family val="2"/>
    </font>
    <font>
      <sz val="7"/>
      <color indexed="18"/>
      <name val="Calibri"/>
      <family val="2"/>
    </font>
    <font>
      <sz val="6"/>
      <color indexed="17"/>
      <name val="Calibri"/>
      <family val="2"/>
    </font>
    <font>
      <sz val="6"/>
      <color indexed="12"/>
      <name val="Verdana"/>
      <family val="2"/>
    </font>
    <font>
      <sz val="6"/>
      <color indexed="8"/>
      <name val="Calibri"/>
      <family val="2"/>
    </font>
    <font>
      <sz val="6"/>
      <color indexed="12"/>
      <name val="Calibri"/>
      <family val="2"/>
    </font>
    <font>
      <sz val="6"/>
      <color indexed="18"/>
      <name val="Calibri"/>
      <family val="2"/>
    </font>
    <font>
      <sz val="6"/>
      <color indexed="10"/>
      <name val="Calibri"/>
      <family val="2"/>
    </font>
    <font>
      <sz val="6"/>
      <color indexed="28"/>
      <name val="Calibri"/>
      <family val="2"/>
    </font>
    <font>
      <b/>
      <sz val="6"/>
      <color indexed="10"/>
      <name val="Calibri"/>
      <family val="2"/>
    </font>
    <font>
      <sz val="6"/>
      <color indexed="17"/>
      <name val="Calibri Body"/>
    </font>
    <font>
      <sz val="9"/>
      <color indexed="12"/>
      <name val="Calibri"/>
      <family val="2"/>
    </font>
    <font>
      <sz val="9"/>
      <color indexed="10"/>
      <name val="Calibri"/>
      <family val="2"/>
    </font>
    <font>
      <sz val="9"/>
      <color indexed="18"/>
      <name val="Calibri"/>
      <family val="2"/>
    </font>
    <font>
      <sz val="9"/>
      <color indexed="12"/>
      <name val="Calibri"/>
      <family val="2"/>
    </font>
    <font>
      <sz val="9"/>
      <color indexed="28"/>
      <name val="Calibri"/>
      <family val="2"/>
    </font>
    <font>
      <b/>
      <sz val="9"/>
      <color indexed="18"/>
      <name val="Calibri"/>
      <family val="2"/>
    </font>
    <font>
      <sz val="9"/>
      <color indexed="48"/>
      <name val="Calibri"/>
      <family val="2"/>
    </font>
    <font>
      <sz val="6"/>
      <color indexed="8"/>
      <name val="Verdana"/>
      <family val="2"/>
    </font>
    <font>
      <sz val="6"/>
      <color indexed="8"/>
      <name val="Calibri"/>
      <family val="2"/>
    </font>
    <font>
      <sz val="6"/>
      <color indexed="18"/>
      <name val="Calibri Body"/>
    </font>
    <font>
      <sz val="12"/>
      <color indexed="10"/>
      <name val="Calibri"/>
      <family val="2"/>
    </font>
    <font>
      <sz val="9"/>
      <color indexed="10"/>
      <name val="Calibri"/>
      <family val="2"/>
    </font>
    <font>
      <sz val="6"/>
      <color indexed="10"/>
      <name val="Verdana"/>
      <family val="2"/>
    </font>
    <font>
      <sz val="9"/>
      <color indexed="8"/>
      <name val="Calibri"/>
      <family val="2"/>
    </font>
    <font>
      <sz val="9"/>
      <name val="Calibri"/>
      <family val="2"/>
    </font>
    <font>
      <sz val="8"/>
      <name val="Calibri"/>
      <family val="2"/>
    </font>
    <font>
      <sz val="10"/>
      <color indexed="8"/>
      <name val="Calibri"/>
      <family val="2"/>
    </font>
    <font>
      <sz val="12"/>
      <color indexed="8"/>
      <name val="Calibri"/>
      <family val="2"/>
    </font>
    <font>
      <sz val="9"/>
      <color indexed="18"/>
      <name val="Calibri"/>
      <family val="2"/>
    </font>
    <font>
      <sz val="9"/>
      <color indexed="17"/>
      <name val="Calibri"/>
      <family val="2"/>
    </font>
    <font>
      <b/>
      <sz val="9"/>
      <color indexed="17"/>
      <name val="Calibri"/>
      <family val="2"/>
    </font>
    <font>
      <sz val="12"/>
      <color indexed="17"/>
      <name val="Calibri"/>
      <family val="2"/>
    </font>
    <font>
      <sz val="6"/>
      <color indexed="17"/>
      <name val="Calibri"/>
      <family val="2"/>
    </font>
    <font>
      <b/>
      <sz val="9"/>
      <color indexed="10"/>
      <name val="Calibri"/>
      <family val="2"/>
    </font>
    <font>
      <b/>
      <sz val="9"/>
      <color indexed="12"/>
      <name val="Calibri"/>
      <family val="2"/>
    </font>
    <font>
      <sz val="10"/>
      <color indexed="8"/>
      <name val="Calibri"/>
      <family val="2"/>
    </font>
    <font>
      <sz val="10"/>
      <color indexed="12"/>
      <name val="Calibri"/>
      <family val="2"/>
    </font>
    <font>
      <sz val="10"/>
      <color indexed="12"/>
      <name val="Verdana"/>
      <family val="2"/>
    </font>
    <font>
      <sz val="10"/>
      <color indexed="18"/>
      <name val="Calibri"/>
      <family val="2"/>
    </font>
    <font>
      <b/>
      <sz val="9"/>
      <color indexed="10"/>
      <name val="Calibri"/>
      <family val="2"/>
    </font>
    <font>
      <sz val="7"/>
      <name val="Calibri"/>
      <family val="2"/>
    </font>
    <font>
      <b/>
      <sz val="9"/>
      <color indexed="8"/>
      <name val="Calibri"/>
      <family val="2"/>
    </font>
    <font>
      <sz val="6"/>
      <color indexed="18"/>
      <name val="Calibri"/>
      <family val="2"/>
    </font>
    <font>
      <sz val="8"/>
      <color indexed="8"/>
      <name val="Calibri"/>
      <family val="2"/>
    </font>
    <font>
      <sz val="9"/>
      <color indexed="12"/>
      <name val="Calibri"/>
      <family val="2"/>
    </font>
    <font>
      <sz val="9"/>
      <name val="Calibri"/>
      <family val="2"/>
    </font>
    <font>
      <sz val="9"/>
      <color indexed="10"/>
      <name val="Calibri"/>
      <family val="2"/>
    </font>
    <font>
      <sz val="9"/>
      <color indexed="18"/>
      <name val="Calibri"/>
      <family val="2"/>
    </font>
    <font>
      <sz val="6"/>
      <color indexed="18"/>
      <name val="Calibri"/>
      <family val="2"/>
    </font>
    <font>
      <b/>
      <sz val="6"/>
      <name val="Calibri"/>
      <family val="2"/>
    </font>
    <font>
      <sz val="10"/>
      <color indexed="8"/>
      <name val="Calibri"/>
      <family val="2"/>
    </font>
    <font>
      <sz val="10"/>
      <color indexed="10"/>
      <name val="Calibri"/>
      <family val="2"/>
    </font>
    <font>
      <b/>
      <sz val="9"/>
      <color indexed="8"/>
      <name val="Calibri"/>
      <family val="2"/>
    </font>
    <font>
      <sz val="9"/>
      <color indexed="18"/>
      <name val="Calibri"/>
      <family val="2"/>
    </font>
    <font>
      <b/>
      <sz val="9"/>
      <color indexed="8"/>
      <name val="Calibri"/>
      <family val="2"/>
    </font>
    <font>
      <b/>
      <sz val="7"/>
      <color indexed="12"/>
      <name val="Calibri"/>
      <family val="2"/>
    </font>
    <font>
      <sz val="9"/>
      <color indexed="12"/>
      <name val="Calibri"/>
      <family val="2"/>
    </font>
    <font>
      <b/>
      <sz val="9"/>
      <color indexed="12"/>
      <name val="Calibri"/>
      <family val="2"/>
    </font>
    <font>
      <b/>
      <sz val="12"/>
      <color indexed="12"/>
      <name val="Calibri"/>
      <family val="2"/>
    </font>
    <font>
      <b/>
      <sz val="8"/>
      <color indexed="12"/>
      <name val="Calibri"/>
      <family val="2"/>
    </font>
    <font>
      <sz val="12"/>
      <color indexed="12"/>
      <name val="Calibri"/>
      <family val="2"/>
    </font>
    <font>
      <b/>
      <sz val="9"/>
      <color indexed="10"/>
      <name val="Calibri"/>
      <family val="2"/>
    </font>
    <font>
      <i/>
      <sz val="6"/>
      <color indexed="18"/>
      <name val="Calibri"/>
      <family val="2"/>
    </font>
    <font>
      <b/>
      <sz val="12"/>
      <color indexed="8"/>
      <name val="Calibri"/>
      <family val="2"/>
    </font>
    <font>
      <sz val="7"/>
      <color indexed="8"/>
      <name val="Calibri"/>
      <family val="2"/>
    </font>
    <font>
      <b/>
      <sz val="9"/>
      <color indexed="8"/>
      <name val="Calibri"/>
      <family val="2"/>
    </font>
    <font>
      <sz val="7"/>
      <color indexed="18"/>
      <name val="Calibri"/>
      <family val="2"/>
    </font>
    <font>
      <b/>
      <sz val="8"/>
      <color indexed="10"/>
      <name val="Calibri"/>
      <family val="2"/>
    </font>
    <font>
      <b/>
      <sz val="8"/>
      <name val="Calibri"/>
      <family val="2"/>
    </font>
    <font>
      <sz val="12"/>
      <color indexed="18"/>
      <name val="Calibri"/>
      <family val="2"/>
    </font>
    <font>
      <b/>
      <sz val="7"/>
      <color indexed="18"/>
      <name val="Calibri"/>
      <family val="2"/>
    </font>
    <font>
      <sz val="7"/>
      <color indexed="10"/>
      <name val="Calibri"/>
      <family val="2"/>
    </font>
    <font>
      <sz val="6"/>
      <color indexed="18"/>
      <name val="Calibri Body"/>
    </font>
    <font>
      <sz val="6"/>
      <color indexed="12"/>
      <name val="Calibri"/>
      <family val="2"/>
    </font>
    <font>
      <sz val="6"/>
      <color indexed="18"/>
      <name val="Verdana"/>
      <family val="2"/>
    </font>
    <font>
      <u/>
      <sz val="6"/>
      <color indexed="18"/>
      <name val="Verdana"/>
      <family val="2"/>
    </font>
    <font>
      <sz val="9"/>
      <color indexed="10"/>
      <name val="Calibri"/>
      <family val="2"/>
    </font>
    <font>
      <b/>
      <sz val="7"/>
      <color indexed="10"/>
      <name val="Calibri"/>
      <family val="2"/>
    </font>
    <font>
      <sz val="7"/>
      <color indexed="18"/>
      <name val="Calibri"/>
      <family val="2"/>
    </font>
    <font>
      <b/>
      <sz val="9"/>
      <color indexed="18"/>
      <name val="Calibri"/>
      <family val="2"/>
    </font>
    <font>
      <sz val="12"/>
      <color indexed="18"/>
      <name val="Calibri"/>
      <family val="2"/>
    </font>
    <font>
      <sz val="6"/>
      <color indexed="18"/>
      <name val="Calibri"/>
      <family val="2"/>
    </font>
    <font>
      <b/>
      <sz val="7"/>
      <name val="Calibri"/>
      <family val="2"/>
    </font>
    <font>
      <b/>
      <sz val="9"/>
      <name val="Calibri"/>
      <family val="2"/>
    </font>
    <font>
      <sz val="12"/>
      <color indexed="8"/>
      <name val="Calibri"/>
      <family val="2"/>
    </font>
    <font>
      <b/>
      <sz val="7"/>
      <color indexed="18"/>
      <name val="Calibri"/>
      <family val="2"/>
    </font>
    <font>
      <sz val="7"/>
      <color indexed="10"/>
      <name val="Calibri"/>
      <family val="2"/>
    </font>
    <font>
      <sz val="7"/>
      <color indexed="10"/>
      <name val="Calibri"/>
      <family val="2"/>
    </font>
    <font>
      <b/>
      <sz val="7"/>
      <color indexed="10"/>
      <name val="Calibri"/>
      <family val="2"/>
    </font>
    <font>
      <sz val="9"/>
      <color indexed="8"/>
      <name val="Calibri"/>
      <family val="2"/>
    </font>
    <font>
      <sz val="9"/>
      <color indexed="8"/>
      <name val="Calibri"/>
      <family val="2"/>
    </font>
    <font>
      <b/>
      <sz val="10"/>
      <color indexed="10"/>
      <name val="Calibri"/>
      <family val="2"/>
    </font>
    <font>
      <sz val="8"/>
      <color indexed="8"/>
      <name val="Calibri"/>
      <family val="2"/>
    </font>
    <font>
      <b/>
      <sz val="9"/>
      <color indexed="18"/>
      <name val="Calibri"/>
      <family val="2"/>
    </font>
    <font>
      <sz val="8"/>
      <color indexed="18"/>
      <name val="Calibri"/>
      <family val="2"/>
    </font>
    <font>
      <sz val="12"/>
      <color indexed="48"/>
      <name val="Calibri"/>
      <family val="2"/>
    </font>
    <font>
      <sz val="9"/>
      <color indexed="8"/>
      <name val="Calibri"/>
      <family val="2"/>
    </font>
    <font>
      <b/>
      <sz val="14"/>
      <color indexed="12"/>
      <name val="Calibri"/>
      <family val="2"/>
    </font>
    <font>
      <sz val="14"/>
      <color indexed="12"/>
      <name val="Calibri"/>
      <family val="2"/>
    </font>
    <font>
      <sz val="8"/>
      <color indexed="10"/>
      <name val="Calibri"/>
      <family val="2"/>
    </font>
    <font>
      <sz val="8"/>
      <color indexed="10"/>
      <name val="Calibri"/>
      <family val="2"/>
    </font>
    <font>
      <sz val="7"/>
      <color indexed="20"/>
      <name val="Calibri"/>
      <family val="2"/>
    </font>
    <font>
      <sz val="8"/>
      <color indexed="12"/>
      <name val="Calibri"/>
      <family val="2"/>
    </font>
    <font>
      <b/>
      <sz val="12"/>
      <color indexed="18"/>
      <name val="Calibri"/>
      <family val="2"/>
    </font>
    <font>
      <sz val="12"/>
      <color indexed="12"/>
      <name val="Calibri"/>
      <family val="2"/>
    </font>
    <font>
      <b/>
      <sz val="9"/>
      <color indexed="12"/>
      <name val="Calibri"/>
      <family val="2"/>
    </font>
    <font>
      <b/>
      <sz val="6"/>
      <color indexed="18"/>
      <name val="Calibri"/>
      <family val="2"/>
    </font>
    <font>
      <sz val="6"/>
      <color indexed="8"/>
      <name val="Calibri"/>
      <family val="2"/>
    </font>
    <font>
      <i/>
      <sz val="6"/>
      <color indexed="12"/>
      <name val="Calibri"/>
      <family val="2"/>
    </font>
    <font>
      <sz val="6"/>
      <color indexed="12"/>
      <name val="Calibri"/>
      <family val="2"/>
    </font>
    <font>
      <sz val="9"/>
      <color indexed="10"/>
      <name val="Calibri"/>
      <family val="2"/>
    </font>
    <font>
      <b/>
      <sz val="9"/>
      <color indexed="10"/>
      <name val="Calibri"/>
      <family val="2"/>
    </font>
    <font>
      <sz val="10"/>
      <color indexed="12"/>
      <name val="Calibri"/>
      <family val="2"/>
    </font>
    <font>
      <b/>
      <sz val="8"/>
      <color indexed="8"/>
      <name val="Calibri"/>
      <family val="2"/>
    </font>
    <font>
      <b/>
      <sz val="10"/>
      <color indexed="8"/>
      <name val="Calibri"/>
      <family val="2"/>
    </font>
    <font>
      <b/>
      <sz val="8"/>
      <color indexed="12"/>
      <name val="Calibri"/>
      <family val="2"/>
    </font>
    <font>
      <b/>
      <sz val="9"/>
      <name val="Calibri Body"/>
    </font>
    <font>
      <sz val="8"/>
      <color indexed="18"/>
      <name val="Calibri Body"/>
    </font>
    <font>
      <sz val="7"/>
      <color indexed="18"/>
      <name val="Calibri Body"/>
    </font>
    <font>
      <sz val="7"/>
      <color indexed="12"/>
      <name val="Calibri Body"/>
    </font>
    <font>
      <sz val="12"/>
      <color indexed="8"/>
      <name val="Calibri Body"/>
    </font>
    <font>
      <sz val="6"/>
      <color indexed="12"/>
      <name val="Calibri Body"/>
    </font>
    <font>
      <sz val="6"/>
      <color indexed="12"/>
      <name val="Calibri Body"/>
    </font>
    <font>
      <sz val="7"/>
      <color indexed="10"/>
      <name val="Calibri Body"/>
    </font>
    <font>
      <sz val="9"/>
      <color indexed="10"/>
      <name val="Calibri Body"/>
    </font>
    <font>
      <sz val="7"/>
      <color indexed="18"/>
      <name val="Calibri Body"/>
    </font>
    <font>
      <sz val="9"/>
      <color indexed="17"/>
      <name val="Calibri Body"/>
    </font>
    <font>
      <sz val="6"/>
      <color indexed="28"/>
      <name val="Calibri Body"/>
    </font>
    <font>
      <sz val="12"/>
      <color indexed="12"/>
      <name val="Calibri Body"/>
    </font>
    <font>
      <sz val="12"/>
      <color indexed="17"/>
      <name val="Calibri Body"/>
    </font>
    <font>
      <sz val="12"/>
      <color indexed="12"/>
      <name val="Calibri"/>
      <family val="2"/>
    </font>
    <font>
      <b/>
      <sz val="9"/>
      <color indexed="10"/>
      <name val="Calibri"/>
      <family val="2"/>
    </font>
    <font>
      <b/>
      <sz val="8"/>
      <color indexed="10"/>
      <name val="Calibri"/>
      <family val="2"/>
    </font>
    <font>
      <b/>
      <sz val="7"/>
      <color indexed="10"/>
      <name val="Calibri"/>
      <family val="2"/>
    </font>
    <font>
      <sz val="8"/>
      <color indexed="18"/>
      <name val="Calibri"/>
      <family val="2"/>
    </font>
    <font>
      <b/>
      <sz val="9"/>
      <color indexed="8"/>
      <name val="Calibri"/>
      <family val="2"/>
    </font>
    <font>
      <b/>
      <sz val="8"/>
      <color indexed="8"/>
      <name val="Calibri"/>
      <family val="2"/>
    </font>
    <font>
      <sz val="9"/>
      <color indexed="18"/>
      <name val="Calibri"/>
      <family val="2"/>
    </font>
    <font>
      <sz val="9"/>
      <color indexed="10"/>
      <name val="Calibri"/>
      <family val="2"/>
    </font>
    <font>
      <sz val="9"/>
      <color indexed="8"/>
      <name val="Calibri"/>
      <family val="2"/>
    </font>
    <font>
      <b/>
      <sz val="9"/>
      <color indexed="10"/>
      <name val="Calibri"/>
      <family val="2"/>
    </font>
    <font>
      <sz val="9"/>
      <color indexed="10"/>
      <name val="Calibri"/>
      <family val="2"/>
    </font>
    <font>
      <b/>
      <sz val="9"/>
      <color indexed="18"/>
      <name val="Calibri"/>
      <family val="2"/>
    </font>
    <font>
      <sz val="12"/>
      <color indexed="12"/>
      <name val="Calibri"/>
      <family val="2"/>
    </font>
    <font>
      <b/>
      <sz val="9"/>
      <color indexed="8"/>
      <name val="Calibri"/>
      <family val="2"/>
    </font>
    <font>
      <b/>
      <sz val="9"/>
      <color indexed="12"/>
      <name val="Calibri"/>
      <family val="2"/>
    </font>
    <font>
      <sz val="8"/>
      <name val="Calibri"/>
      <family val="2"/>
    </font>
    <font>
      <b/>
      <sz val="7"/>
      <color indexed="10"/>
      <name val="Calibri"/>
      <family val="2"/>
    </font>
    <font>
      <sz val="6"/>
      <color indexed="18"/>
      <name val="Calibri"/>
      <family val="2"/>
    </font>
    <font>
      <sz val="9"/>
      <color indexed="10"/>
      <name val="Calibri"/>
      <family val="2"/>
    </font>
    <font>
      <b/>
      <sz val="7"/>
      <color indexed="10"/>
      <name val="Calibri"/>
      <family val="2"/>
    </font>
    <font>
      <b/>
      <sz val="7"/>
      <color indexed="10"/>
      <name val="Calibri"/>
      <family val="2"/>
    </font>
    <font>
      <sz val="6"/>
      <color indexed="18"/>
      <name val="Calibri"/>
      <family val="2"/>
    </font>
    <font>
      <sz val="7"/>
      <color indexed="10"/>
      <name val="Calibri"/>
      <family val="2"/>
    </font>
    <font>
      <sz val="12"/>
      <color indexed="10"/>
      <name val="Calibri"/>
      <family val="2"/>
    </font>
    <font>
      <sz val="9"/>
      <color indexed="10"/>
      <name val="Calibri"/>
      <family val="2"/>
    </font>
    <font>
      <sz val="8"/>
      <color indexed="10"/>
      <name val="Calibri"/>
      <family val="2"/>
    </font>
    <font>
      <sz val="12"/>
      <color indexed="18"/>
      <name val="Calibri"/>
      <family val="2"/>
    </font>
    <font>
      <sz val="9"/>
      <color indexed="18"/>
      <name val="Calibri"/>
      <family val="2"/>
    </font>
    <font>
      <sz val="12"/>
      <color rgb="FF9C0006"/>
      <name val="Calibri"/>
      <family val="2"/>
      <scheme val="minor"/>
    </font>
    <font>
      <u/>
      <sz val="12"/>
      <color theme="10"/>
      <name val="Calibri"/>
      <family val="2"/>
      <scheme val="minor"/>
    </font>
    <font>
      <b/>
      <sz val="14"/>
      <color rgb="FFFF0000"/>
      <name val="Calibri"/>
      <family val="2"/>
      <scheme val="minor"/>
    </font>
    <font>
      <b/>
      <i/>
      <sz val="14"/>
      <color rgb="FFFF0000"/>
      <name val="Calibri"/>
      <family val="2"/>
      <scheme val="minor"/>
    </font>
    <font>
      <sz val="6.5"/>
      <color indexed="18"/>
      <name val="Calibri"/>
      <family val="2"/>
    </font>
    <font>
      <sz val="9"/>
      <color theme="1"/>
      <name val="Calibri"/>
      <family val="2"/>
    </font>
    <font>
      <sz val="6"/>
      <color theme="1"/>
      <name val="Verdana"/>
      <family val="2"/>
    </font>
    <font>
      <sz val="6"/>
      <color theme="1"/>
      <name val="Calibri"/>
      <family val="2"/>
      <scheme val="minor"/>
    </font>
    <font>
      <sz val="6"/>
      <color theme="1"/>
      <name val="Calibri"/>
      <family val="2"/>
    </font>
    <font>
      <i/>
      <sz val="6"/>
      <color theme="1"/>
      <name val="Calibri"/>
      <family val="2"/>
    </font>
    <font>
      <sz val="8"/>
      <color theme="1"/>
      <name val="Calibri"/>
      <family val="2"/>
    </font>
    <font>
      <sz val="6.5"/>
      <color indexed="18"/>
      <name val="Calibri (Body)_x0000_"/>
    </font>
    <font>
      <sz val="6.5"/>
      <color theme="1"/>
      <name val="Calibri (Body)_x0000_"/>
    </font>
    <font>
      <b/>
      <sz val="9"/>
      <color rgb="FFFF0000"/>
      <name val="Calibri"/>
      <family val="2"/>
    </font>
    <font>
      <b/>
      <sz val="9"/>
      <color theme="1"/>
      <name val="Calibri"/>
      <family val="2"/>
    </font>
    <font>
      <sz val="6.5"/>
      <color theme="1"/>
      <name val="Calibri"/>
      <family val="2"/>
    </font>
    <font>
      <sz val="6.5"/>
      <color rgb="FF0070C0"/>
      <name val="Calibri"/>
      <family val="2"/>
    </font>
    <font>
      <sz val="6.5"/>
      <color theme="1"/>
      <name val="Calibri"/>
      <family val="2"/>
      <scheme val="minor"/>
    </font>
    <font>
      <b/>
      <sz val="10"/>
      <color indexed="12"/>
      <name val="Calibri (Body)_x0000_"/>
    </font>
    <font>
      <sz val="10"/>
      <color theme="1"/>
      <name val="Calibri (Body)_x0000_"/>
    </font>
    <font>
      <sz val="6"/>
      <color theme="1"/>
      <name val="Calibri (Body)_x0000_"/>
    </font>
    <font>
      <sz val="9"/>
      <color rgb="FFFF0000"/>
      <name val="Calibri"/>
      <family val="2"/>
    </font>
    <font>
      <sz val="9"/>
      <color theme="1"/>
      <name val="Calibri"/>
      <family val="2"/>
      <scheme val="minor"/>
    </font>
    <font>
      <b/>
      <sz val="9"/>
      <color theme="1"/>
      <name val="Calibri"/>
      <family val="2"/>
      <scheme val="minor"/>
    </font>
    <font>
      <b/>
      <sz val="7"/>
      <color theme="1"/>
      <name val="Calibri (Body)_x0000_"/>
    </font>
    <font>
      <b/>
      <sz val="7"/>
      <color theme="1"/>
      <name val="Calibri"/>
      <family val="2"/>
    </font>
    <font>
      <sz val="9"/>
      <color theme="1"/>
      <name val="Calibri (Body)_x0000_"/>
    </font>
    <font>
      <sz val="9"/>
      <color indexed="18"/>
      <name val="Calibri (Body)_x0000_"/>
    </font>
    <font>
      <sz val="9"/>
      <color rgb="FFFF0000"/>
      <name val="Calibri (Body)_x0000_"/>
    </font>
    <font>
      <sz val="9"/>
      <color rgb="FFFF0000"/>
      <name val="Calibri (Body)"/>
    </font>
    <font>
      <b/>
      <sz val="14"/>
      <color rgb="FFFF0000"/>
      <name val="Calibri (Body)_x0000_"/>
    </font>
    <font>
      <sz val="10"/>
      <color rgb="FFFF0000"/>
      <name val="Calibri"/>
      <family val="2"/>
    </font>
    <font>
      <sz val="7"/>
      <color rgb="FFFF0000"/>
      <name val="Calibri"/>
      <family val="2"/>
    </font>
    <font>
      <sz val="6"/>
      <color theme="4" tint="-0.249977111117893"/>
      <name val="Calibri"/>
      <family val="2"/>
    </font>
    <font>
      <b/>
      <sz val="6"/>
      <color theme="1"/>
      <name val="Verdana"/>
      <family val="2"/>
    </font>
    <font>
      <b/>
      <sz val="8"/>
      <color rgb="FF000000"/>
      <name val="Calibri"/>
      <family val="2"/>
    </font>
    <font>
      <b/>
      <sz val="8"/>
      <color theme="1"/>
      <name val="Calibri"/>
      <family val="2"/>
    </font>
    <font>
      <b/>
      <sz val="9"/>
      <color indexed="8"/>
      <name val="Calibri (Body)_x0000_"/>
    </font>
    <font>
      <sz val="9"/>
      <color indexed="10"/>
      <name val="Calibri (Body)_x0000_"/>
    </font>
    <font>
      <sz val="9"/>
      <color indexed="12"/>
      <name val="Calibri (Body)_x0000_"/>
    </font>
    <font>
      <b/>
      <sz val="9"/>
      <color rgb="FF000000"/>
      <name val="Calibri"/>
      <family val="2"/>
    </font>
    <font>
      <sz val="8"/>
      <color rgb="FF3366FF"/>
      <name val="Calibri"/>
      <family val="2"/>
    </font>
    <font>
      <sz val="9"/>
      <color indexed="8"/>
      <name val="Calibri (Body)_x0000_"/>
    </font>
    <font>
      <sz val="9"/>
      <color rgb="FFFF0000"/>
      <name val="Calibri"/>
      <family val="2"/>
      <scheme val="minor"/>
    </font>
    <font>
      <b/>
      <sz val="9"/>
      <color theme="1"/>
      <name val="Calibri (Body)_x0000_"/>
    </font>
    <font>
      <b/>
      <sz val="9"/>
      <color indexed="10"/>
      <name val="Calibri (Body)_x0000_"/>
    </font>
    <font>
      <sz val="9"/>
      <color rgb="FF002060"/>
      <name val="Calibri"/>
      <family val="2"/>
    </font>
    <font>
      <sz val="6.5"/>
      <color indexed="8"/>
      <name val="Calibri (Body)_x0000_"/>
    </font>
    <font>
      <i/>
      <sz val="6.5"/>
      <color indexed="8"/>
      <name val="Calibri (Body)_x0000_"/>
    </font>
    <font>
      <sz val="6.5"/>
      <color rgb="FF002060"/>
      <name val="Calibri (Body)_x0000_"/>
    </font>
    <font>
      <sz val="6"/>
      <color indexed="8"/>
      <name val="Calibri (Body)_x0000_"/>
    </font>
    <font>
      <i/>
      <sz val="6"/>
      <color indexed="8"/>
      <name val="Calibri (Body)_x0000_"/>
    </font>
    <font>
      <sz val="6"/>
      <color indexed="8"/>
      <name val="Calibri"/>
      <family val="2"/>
      <scheme val="minor"/>
    </font>
    <font>
      <b/>
      <sz val="6.5"/>
      <color theme="1"/>
      <name val="Calibri"/>
      <family val="2"/>
      <scheme val="minor"/>
    </font>
    <font>
      <sz val="12"/>
      <color theme="1"/>
      <name val="Calibri (Body)_x0000_"/>
    </font>
    <font>
      <sz val="9"/>
      <color rgb="FF000090"/>
      <name val="Calibri"/>
      <family val="2"/>
    </font>
    <font>
      <sz val="6.5"/>
      <color indexed="12"/>
      <name val="Calibri"/>
      <family val="2"/>
    </font>
    <font>
      <b/>
      <sz val="9"/>
      <color rgb="FF000090"/>
      <name val="Calibri"/>
      <family val="2"/>
    </font>
    <font>
      <sz val="9"/>
      <color rgb="FF000090"/>
      <name val="Calibri"/>
      <family val="2"/>
      <scheme val="minor"/>
    </font>
    <font>
      <sz val="6.5"/>
      <color indexed="17"/>
      <name val="Calibri Body"/>
    </font>
    <font>
      <sz val="6.5"/>
      <color indexed="18"/>
      <name val="Calibri Body"/>
    </font>
    <font>
      <sz val="6.5"/>
      <color indexed="12"/>
      <name val="Calibri Body"/>
    </font>
    <font>
      <sz val="6"/>
      <name val="Calibri"/>
      <family val="2"/>
    </font>
    <font>
      <sz val="6.5"/>
      <color indexed="10"/>
      <name val="Calibri"/>
      <family val="2"/>
    </font>
    <font>
      <sz val="6.5"/>
      <color indexed="17"/>
      <name val="Calibri"/>
      <family val="2"/>
    </font>
    <font>
      <sz val="6.5"/>
      <color indexed="28"/>
      <name val="Calibri Body"/>
    </font>
    <font>
      <sz val="8"/>
      <color theme="1"/>
      <name val="Calibri"/>
      <family val="2"/>
      <scheme val="minor"/>
    </font>
    <font>
      <b/>
      <sz val="8"/>
      <color theme="1"/>
      <name val="Calibri"/>
      <family val="2"/>
      <scheme val="minor"/>
    </font>
    <font>
      <i/>
      <sz val="7"/>
      <color rgb="FF000080"/>
      <name val="Calibri"/>
      <family val="2"/>
    </font>
    <font>
      <sz val="6"/>
      <color rgb="FF000090"/>
      <name val="Calibri"/>
      <family val="2"/>
      <scheme val="minor"/>
    </font>
    <font>
      <sz val="7"/>
      <color rgb="FF000090"/>
      <name val="Calibri"/>
      <family val="2"/>
      <scheme val="minor"/>
    </font>
    <font>
      <b/>
      <sz val="11"/>
      <color indexed="12"/>
      <name val="Calibri"/>
      <family val="2"/>
    </font>
    <font>
      <sz val="11"/>
      <color indexed="12"/>
      <name val="Calibri"/>
      <family val="2"/>
    </font>
    <font>
      <sz val="8"/>
      <color rgb="FF0000FF"/>
      <name val="Calibri"/>
      <family val="2"/>
    </font>
    <font>
      <b/>
      <sz val="10"/>
      <color theme="1"/>
      <name val="Calibri"/>
      <family val="2"/>
      <scheme val="minor"/>
    </font>
    <font>
      <b/>
      <u/>
      <sz val="10"/>
      <color theme="1"/>
      <name val="Calibri (Body)_x0000_"/>
    </font>
    <font>
      <sz val="10"/>
      <color theme="1"/>
      <name val="Calibri"/>
      <family val="2"/>
      <scheme val="minor"/>
    </font>
    <font>
      <b/>
      <sz val="12"/>
      <color theme="1"/>
      <name val="Calibri"/>
      <family val="2"/>
      <scheme val="minor"/>
    </font>
    <font>
      <b/>
      <sz val="9"/>
      <color indexed="12"/>
      <name val="Calibri"/>
      <family val="2"/>
      <scheme val="minor"/>
    </font>
    <font>
      <b/>
      <sz val="12"/>
      <color indexed="8"/>
      <name val="Calibri (Body)_x0000_"/>
    </font>
    <font>
      <b/>
      <sz val="12"/>
      <color theme="1"/>
      <name val="Calibri (Body)_x0000_"/>
    </font>
    <font>
      <b/>
      <sz val="9"/>
      <color indexed="8"/>
      <name val="Calibri"/>
      <family val="2"/>
      <scheme val="minor"/>
    </font>
    <font>
      <b/>
      <sz val="12"/>
      <name val="Calibri (Body)_x0000_"/>
    </font>
    <font>
      <sz val="9"/>
      <color rgb="FF000000"/>
      <name val="Calibri"/>
      <family val="2"/>
      <scheme val="minor"/>
    </font>
    <font>
      <sz val="7"/>
      <color rgb="FF011993"/>
      <name val="Calibri"/>
      <family val="2"/>
      <scheme val="minor"/>
    </font>
    <font>
      <b/>
      <sz val="6"/>
      <color theme="1"/>
      <name val="Calibri"/>
      <family val="2"/>
    </font>
    <font>
      <sz val="7"/>
      <color theme="1"/>
      <name val="Calibri"/>
      <family val="2"/>
    </font>
    <font>
      <sz val="12"/>
      <color rgb="FF000000"/>
      <name val="Calibri"/>
      <family val="2"/>
      <scheme val="minor"/>
    </font>
    <font>
      <sz val="12"/>
      <color indexed="8"/>
      <name val="Calibri (Body)_x0000_"/>
    </font>
    <font>
      <sz val="12"/>
      <color rgb="FF000090"/>
      <name val="Calibri"/>
      <family val="2"/>
      <scheme val="minor"/>
    </font>
    <font>
      <b/>
      <u/>
      <sz val="8"/>
      <color theme="1"/>
      <name val="Calibri (Body)_x0000_"/>
    </font>
    <font>
      <sz val="6.5"/>
      <color rgb="FF0000FF"/>
      <name val="Calibri"/>
      <family val="2"/>
    </font>
    <font>
      <sz val="7"/>
      <color rgb="FF000000"/>
      <name val="Calibri (Body)_x0000_"/>
    </font>
    <font>
      <sz val="12"/>
      <color rgb="FF000000"/>
      <name val="Calibri (Body)_x0000_"/>
    </font>
    <font>
      <sz val="7"/>
      <color rgb="FF000000"/>
      <name val="Calibri"/>
      <family val="2"/>
      <scheme val="minor"/>
    </font>
    <font>
      <sz val="6"/>
      <color rgb="FF0000FF"/>
      <name val="Calibri"/>
      <family val="2"/>
    </font>
    <font>
      <sz val="6"/>
      <color rgb="FF000000"/>
      <name val="Calibri"/>
      <family val="2"/>
      <scheme val="minor"/>
    </font>
    <font>
      <i/>
      <sz val="6"/>
      <color rgb="FF000080"/>
      <name val="Calibri"/>
      <family val="2"/>
      <scheme val="minor"/>
    </font>
    <font>
      <sz val="6"/>
      <color rgb="FF000080"/>
      <name val="Calibri"/>
      <family val="2"/>
      <scheme val="minor"/>
    </font>
    <font>
      <sz val="6"/>
      <color rgb="FF0000FF"/>
      <name val="Calibri (Body)_x0000_"/>
    </font>
    <font>
      <sz val="6"/>
      <color theme="1"/>
      <name val="Calibri Body"/>
    </font>
    <font>
      <sz val="7"/>
      <color theme="1"/>
      <name val="Calibri (Body)_x0000_"/>
    </font>
    <font>
      <i/>
      <sz val="6.5"/>
      <color theme="1"/>
      <name val="Calibri (Body)_x0000_"/>
    </font>
    <font>
      <sz val="6.5"/>
      <color rgb="FF0000FF"/>
      <name val="Calibri (Body)_x0000_"/>
    </font>
    <font>
      <sz val="6.5"/>
      <color rgb="FF0000FF"/>
      <name val="Calibri"/>
      <family val="2"/>
      <scheme val="minor"/>
    </font>
    <font>
      <sz val="7"/>
      <color indexed="18"/>
      <name val="Calibri (Body)_x0000_"/>
    </font>
    <font>
      <i/>
      <sz val="6"/>
      <color theme="1"/>
      <name val="Calibri (Body)_x0000_"/>
    </font>
    <font>
      <sz val="7"/>
      <color rgb="FF0000FF"/>
      <name val="Calibri (Body)_x0000_"/>
    </font>
    <font>
      <sz val="7"/>
      <color theme="1"/>
      <name val="Calibri"/>
      <family val="2"/>
      <scheme val="minor"/>
    </font>
    <font>
      <u/>
      <sz val="6"/>
      <color theme="1"/>
      <name val="Verdana"/>
      <family val="2"/>
    </font>
    <font>
      <i/>
      <sz val="7"/>
      <color theme="1"/>
      <name val="Calibri"/>
      <family val="2"/>
    </font>
    <font>
      <sz val="7"/>
      <color theme="1"/>
      <name val="Calibri Body"/>
    </font>
    <font>
      <sz val="7"/>
      <color rgb="FF0000FF"/>
      <name val="Calibri"/>
      <family val="2"/>
    </font>
    <font>
      <i/>
      <sz val="6"/>
      <color rgb="FF0000FF"/>
      <name val="Calibri (Body)_x0000_"/>
    </font>
    <font>
      <sz val="10"/>
      <color theme="1"/>
      <name val="Calibri"/>
      <family val="2"/>
    </font>
    <font>
      <sz val="7"/>
      <color rgb="FFFF0000"/>
      <name val="Calibri (Body)_x0000_"/>
    </font>
    <font>
      <i/>
      <sz val="6"/>
      <color rgb="FF0000FF"/>
      <name val="Calibri"/>
      <family val="2"/>
    </font>
    <font>
      <u/>
      <sz val="6"/>
      <color theme="1"/>
      <name val="Calibri"/>
      <family val="2"/>
      <scheme val="minor"/>
    </font>
    <font>
      <sz val="6"/>
      <color theme="10"/>
      <name val="Calibri"/>
      <family val="2"/>
    </font>
    <font>
      <b/>
      <sz val="6"/>
      <color theme="1"/>
      <name val="Calibri Body"/>
    </font>
    <font>
      <i/>
      <sz val="6.5"/>
      <color theme="1"/>
      <name val="Calibri"/>
      <family val="2"/>
    </font>
    <font>
      <sz val="6"/>
      <color rgb="FFFF0000"/>
      <name val="Calibri"/>
      <family val="2"/>
    </font>
    <font>
      <b/>
      <sz val="7"/>
      <name val="Calibri (Body)_x0000_"/>
    </font>
    <font>
      <b/>
      <sz val="7"/>
      <color indexed="8"/>
      <name val="Calibri (Body)_x0000_"/>
    </font>
    <font>
      <b/>
      <sz val="7"/>
      <color indexed="18"/>
      <name val="Calibri (Body)_x0000_"/>
    </font>
    <font>
      <sz val="7"/>
      <color indexed="8"/>
      <name val="Calibri (Body)_x0000_"/>
    </font>
    <font>
      <b/>
      <sz val="7"/>
      <color indexed="10"/>
      <name val="Calibri (Body)_x0000_"/>
    </font>
    <font>
      <sz val="7"/>
      <color indexed="12"/>
      <name val="Calibri (Body)_x0000_"/>
    </font>
    <font>
      <sz val="7"/>
      <color indexed="28"/>
      <name val="Calibri (Body)_x0000_"/>
    </font>
    <font>
      <sz val="7"/>
      <name val="Calibri (Body)_x0000_"/>
    </font>
    <font>
      <b/>
      <sz val="7"/>
      <color indexed="12"/>
      <name val="Calibri (Body)_x0000_"/>
    </font>
    <font>
      <sz val="7"/>
      <color indexed="17"/>
      <name val="Calibri (Body)_x0000_"/>
    </font>
    <font>
      <b/>
      <i/>
      <sz val="6"/>
      <color theme="1"/>
      <name val="Calibri"/>
      <family val="2"/>
    </font>
    <font>
      <sz val="6"/>
      <color rgb="FF0000FF"/>
      <name val="Verdana"/>
      <family val="2"/>
    </font>
    <font>
      <sz val="7"/>
      <color rgb="FF3366FF"/>
      <name val="Calibri"/>
      <family val="2"/>
    </font>
    <font>
      <u/>
      <sz val="7"/>
      <color theme="1"/>
      <name val="Calibri (Body)_x0000_"/>
    </font>
    <font>
      <sz val="14"/>
      <color rgb="FF0000FF"/>
      <name val="Calibri"/>
      <family val="2"/>
    </font>
    <font>
      <b/>
      <sz val="7"/>
      <color theme="1"/>
      <name val="Calibri"/>
      <family val="2"/>
      <scheme val="minor"/>
    </font>
    <font>
      <i/>
      <sz val="6"/>
      <color rgb="FF000080"/>
      <name val="Calibri (Body)_x0000_"/>
    </font>
    <font>
      <sz val="7"/>
      <color rgb="FF000090"/>
      <name val="Calibri (Body)_x0000_"/>
    </font>
    <font>
      <i/>
      <sz val="7"/>
      <color theme="1"/>
      <name val="Calibri Body"/>
    </font>
    <font>
      <sz val="6"/>
      <color rgb="FF0000FF"/>
      <name val="Calibri Body"/>
    </font>
    <font>
      <sz val="12"/>
      <color theme="1"/>
      <name val="Calibri Body"/>
    </font>
    <font>
      <sz val="12"/>
      <color theme="1"/>
      <name val="Calibri"/>
      <family val="2"/>
    </font>
    <font>
      <i/>
      <sz val="7"/>
      <color theme="1"/>
      <name val="Calibri (Body)_x0000_"/>
    </font>
    <font>
      <sz val="6"/>
      <color rgb="FF0000FF"/>
      <name val="Calibri"/>
      <family val="2"/>
      <scheme val="minor"/>
    </font>
    <font>
      <sz val="6.5"/>
      <color rgb="FFFF0000"/>
      <name val="Calibri"/>
      <family val="2"/>
    </font>
    <font>
      <sz val="7"/>
      <color rgb="FF3366FF"/>
      <name val="Calibri (Body)_x0000_"/>
    </font>
    <font>
      <b/>
      <sz val="7"/>
      <color rgb="FF0000FF"/>
      <name val="Calibri"/>
      <family val="2"/>
      <scheme val="minor"/>
    </font>
    <font>
      <sz val="7"/>
      <color rgb="FF0000FF"/>
      <name val="Calibri"/>
      <family val="2"/>
      <scheme val="minor"/>
    </font>
    <font>
      <sz val="8"/>
      <color theme="1"/>
      <name val="Calibri (Body)_x0000_"/>
    </font>
    <font>
      <i/>
      <sz val="7"/>
      <color rgb="FF000000"/>
      <name val="Calibri"/>
      <family val="2"/>
      <scheme val="minor"/>
    </font>
    <font>
      <b/>
      <u/>
      <sz val="12"/>
      <color theme="1"/>
      <name val="Calibri"/>
      <family val="2"/>
      <scheme val="minor"/>
    </font>
    <font>
      <b/>
      <u/>
      <sz val="12"/>
      <color indexed="8"/>
      <name val="Calibri"/>
      <family val="2"/>
    </font>
  </fonts>
  <fills count="23">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13"/>
        <bgColor indexed="8"/>
      </patternFill>
    </fill>
    <fill>
      <patternFill patternType="solid">
        <fgColor indexed="42"/>
        <bgColor indexed="8"/>
      </patternFill>
    </fill>
    <fill>
      <patternFill patternType="solid">
        <fgColor indexed="12"/>
        <bgColor indexed="64"/>
      </patternFill>
    </fill>
    <fill>
      <patternFill patternType="solid">
        <fgColor indexed="12"/>
        <bgColor indexed="8"/>
      </patternFill>
    </fill>
    <fill>
      <patternFill patternType="solid">
        <fgColor indexed="11"/>
        <bgColor indexed="8"/>
      </patternFill>
    </fill>
    <fill>
      <patternFill patternType="solid">
        <fgColor indexed="46"/>
        <bgColor indexed="8"/>
      </patternFill>
    </fill>
    <fill>
      <patternFill patternType="solid">
        <fgColor indexed="49"/>
        <bgColor indexed="8"/>
      </patternFill>
    </fill>
    <fill>
      <patternFill patternType="solid">
        <fgColor rgb="FFFFC7CE"/>
      </patternFill>
    </fill>
    <fill>
      <patternFill patternType="solid">
        <fgColor rgb="FF00FF00"/>
        <bgColor indexed="64"/>
      </patternFill>
    </fill>
    <fill>
      <patternFill patternType="solid">
        <fgColor rgb="FFFFFF00"/>
        <bgColor indexed="64"/>
      </patternFill>
    </fill>
    <fill>
      <patternFill patternType="solid">
        <fgColor rgb="FF00FA00"/>
        <bgColor indexed="8"/>
      </patternFill>
    </fill>
    <fill>
      <patternFill patternType="solid">
        <fgColor rgb="FF00FA00"/>
        <bgColor indexed="64"/>
      </patternFill>
    </fill>
    <fill>
      <patternFill patternType="solid">
        <fgColor rgb="FFFFFFFF"/>
        <bgColor indexed="64"/>
      </patternFill>
    </fill>
    <fill>
      <patternFill patternType="solid">
        <fgColor rgb="FF00B0F0"/>
        <bgColor indexed="64"/>
      </patternFill>
    </fill>
    <fill>
      <patternFill patternType="solid">
        <fgColor rgb="FF33CCCC"/>
        <bgColor indexed="64"/>
      </patternFill>
    </fill>
    <fill>
      <patternFill patternType="solid">
        <fgColor rgb="FF0000FF"/>
        <bgColor indexed="64"/>
      </patternFill>
    </fill>
    <fill>
      <patternFill patternType="solid">
        <fgColor rgb="FF00FF00"/>
        <bgColor indexed="8"/>
      </patternFill>
    </fill>
    <fill>
      <patternFill patternType="solid">
        <fgColor theme="0"/>
        <bgColor indexed="64"/>
      </patternFill>
    </fill>
  </fills>
  <borders count="7">
    <border>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indexed="8"/>
      </left>
      <right/>
      <top/>
      <bottom/>
      <diagonal/>
    </border>
    <border>
      <left/>
      <right style="thin">
        <color indexed="8"/>
      </right>
      <top/>
      <bottom/>
      <diagonal/>
    </border>
    <border>
      <left/>
      <right/>
      <top/>
      <bottom style="thin">
        <color auto="1"/>
      </bottom>
      <diagonal/>
    </border>
  </borders>
  <cellStyleXfs count="3">
    <xf numFmtId="0" fontId="0" fillId="0" borderId="0"/>
    <xf numFmtId="0" fontId="188" fillId="12" borderId="0" applyNumberFormat="0" applyBorder="0" applyAlignment="0" applyProtection="0"/>
    <xf numFmtId="0" fontId="189" fillId="0" borderId="0" applyNumberFormat="0" applyFill="0" applyBorder="0" applyAlignment="0" applyProtection="0"/>
  </cellStyleXfs>
  <cellXfs count="1707">
    <xf numFmtId="0" fontId="0" fillId="0" borderId="0" xfId="0"/>
    <xf numFmtId="1" fontId="0" fillId="0" borderId="0" xfId="0" applyNumberFormat="1"/>
    <xf numFmtId="0" fontId="0" fillId="0" borderId="0" xfId="0" applyAlignment="1">
      <alignment horizontal="center"/>
    </xf>
    <xf numFmtId="0" fontId="8" fillId="0" borderId="0" xfId="0" applyFont="1" applyAlignment="1">
      <alignment horizontal="right"/>
    </xf>
    <xf numFmtId="0" fontId="8" fillId="0" borderId="0" xfId="0" applyFont="1" applyAlignment="1">
      <alignment horizontal="center"/>
    </xf>
    <xf numFmtId="164" fontId="8" fillId="0" borderId="0" xfId="0" applyNumberFormat="1" applyFont="1" applyAlignment="1">
      <alignment horizontal="center"/>
    </xf>
    <xf numFmtId="0" fontId="11" fillId="0" borderId="0" xfId="0" applyFont="1"/>
    <xf numFmtId="0" fontId="7" fillId="0" borderId="0" xfId="0" applyFont="1" applyAlignment="1">
      <alignment horizontal="right"/>
    </xf>
    <xf numFmtId="0" fontId="7" fillId="0" borderId="0" xfId="0" applyFont="1" applyAlignment="1">
      <alignment horizontal="center"/>
    </xf>
    <xf numFmtId="164" fontId="11" fillId="0" borderId="0" xfId="0" applyNumberFormat="1" applyFont="1" applyAlignment="1">
      <alignment horizontal="center"/>
    </xf>
    <xf numFmtId="0" fontId="8" fillId="0" borderId="0" xfId="0" applyFont="1" applyFill="1" applyAlignment="1">
      <alignment horizontal="right"/>
    </xf>
    <xf numFmtId="3" fontId="15" fillId="0" borderId="0" xfId="0" applyNumberFormat="1" applyFont="1" applyAlignment="1">
      <alignment horizontal="center"/>
    </xf>
    <xf numFmtId="0" fontId="0" fillId="0" borderId="0" xfId="0" applyFill="1"/>
    <xf numFmtId="164" fontId="26" fillId="0" borderId="0" xfId="0" applyNumberFormat="1" applyFont="1" applyAlignment="1">
      <alignment horizontal="center"/>
    </xf>
    <xf numFmtId="0" fontId="23" fillId="0" borderId="0" xfId="0" applyFont="1" applyFill="1" applyAlignment="1">
      <alignment horizontal="center" vertical="top" wrapText="1"/>
    </xf>
    <xf numFmtId="0" fontId="0" fillId="0" borderId="0" xfId="0" applyAlignment="1">
      <alignment vertical="top"/>
    </xf>
    <xf numFmtId="0" fontId="16" fillId="0" borderId="0" xfId="0" applyFont="1" applyAlignment="1">
      <alignment horizontal="right" vertical="top" wrapText="1"/>
    </xf>
    <xf numFmtId="0" fontId="14" fillId="0" borderId="0" xfId="0" applyFont="1" applyAlignment="1">
      <alignment horizontal="center" vertical="top" wrapText="1"/>
    </xf>
    <xf numFmtId="0" fontId="0" fillId="0" borderId="0" xfId="0" applyAlignment="1">
      <alignment horizontal="left"/>
    </xf>
    <xf numFmtId="0" fontId="31" fillId="0" borderId="0" xfId="0" applyFont="1" applyFill="1" applyAlignment="1">
      <alignment vertical="top" wrapText="1"/>
    </xf>
    <xf numFmtId="0" fontId="2" fillId="0" borderId="0" xfId="0" applyFont="1" applyBorder="1"/>
    <xf numFmtId="0" fontId="0" fillId="0" borderId="1" xfId="0" applyBorder="1" applyAlignment="1">
      <alignment vertical="top"/>
    </xf>
    <xf numFmtId="0" fontId="0" fillId="0" borderId="0" xfId="0" applyBorder="1" applyAlignment="1">
      <alignment vertical="top"/>
    </xf>
    <xf numFmtId="0" fontId="0" fillId="0" borderId="1" xfId="0" applyBorder="1"/>
    <xf numFmtId="0" fontId="0" fillId="0" borderId="0" xfId="0" applyBorder="1"/>
    <xf numFmtId="164" fontId="22" fillId="0" borderId="0" xfId="0" applyNumberFormat="1" applyFont="1" applyFill="1" applyAlignment="1">
      <alignment horizontal="center"/>
    </xf>
    <xf numFmtId="164" fontId="26" fillId="0" borderId="0" xfId="0" applyNumberFormat="1" applyFont="1" applyFill="1" applyAlignment="1">
      <alignment horizontal="center"/>
    </xf>
    <xf numFmtId="3" fontId="14" fillId="0" borderId="0" xfId="0" applyNumberFormat="1" applyFont="1" applyAlignment="1">
      <alignment horizontal="center"/>
    </xf>
    <xf numFmtId="164" fontId="26" fillId="0" borderId="0" xfId="0" applyNumberFormat="1" applyFont="1" applyFill="1" applyBorder="1" applyAlignment="1">
      <alignment horizontal="center"/>
    </xf>
    <xf numFmtId="0" fontId="9" fillId="0" borderId="0" xfId="0" applyFont="1" applyAlignment="1">
      <alignment horizontal="center"/>
    </xf>
    <xf numFmtId="164" fontId="43" fillId="0" borderId="0" xfId="0" applyNumberFormat="1" applyFont="1" applyFill="1" applyAlignment="1">
      <alignment horizontal="center"/>
    </xf>
    <xf numFmtId="164" fontId="8" fillId="0" borderId="0" xfId="0" applyNumberFormat="1" applyFont="1" applyFill="1" applyAlignment="1">
      <alignment horizontal="center"/>
    </xf>
    <xf numFmtId="0" fontId="20" fillId="0" borderId="0" xfId="0" applyFont="1" applyFill="1" applyAlignment="1">
      <alignment horizontal="center" vertical="top" wrapText="1"/>
    </xf>
    <xf numFmtId="0" fontId="26" fillId="0" borderId="0" xfId="0" applyFont="1" applyAlignment="1">
      <alignment vertical="top" wrapText="1"/>
    </xf>
    <xf numFmtId="164" fontId="45" fillId="0" borderId="0" xfId="0" applyNumberFormat="1" applyFont="1" applyAlignment="1">
      <alignment horizontal="center"/>
    </xf>
    <xf numFmtId="0" fontId="5" fillId="0" borderId="0" xfId="0" applyFont="1" applyFill="1"/>
    <xf numFmtId="164" fontId="26" fillId="0" borderId="0" xfId="0" applyNumberFormat="1" applyFont="1" applyBorder="1" applyAlignment="1">
      <alignment horizontal="center"/>
    </xf>
    <xf numFmtId="0" fontId="9" fillId="0" borderId="0" xfId="0" applyFont="1" applyFill="1" applyAlignment="1">
      <alignment horizontal="right"/>
    </xf>
    <xf numFmtId="0" fontId="8" fillId="0" borderId="0" xfId="0" applyFont="1" applyBorder="1" applyAlignment="1">
      <alignment horizontal="center"/>
    </xf>
    <xf numFmtId="0" fontId="18" fillId="0" borderId="0" xfId="0" applyFont="1" applyFill="1" applyBorder="1" applyAlignment="1">
      <alignment horizontal="center" vertical="top" wrapText="1"/>
    </xf>
    <xf numFmtId="0" fontId="33" fillId="0" borderId="0" xfId="0" applyFont="1" applyFill="1" applyBorder="1" applyAlignment="1">
      <alignment vertical="top" wrapText="1"/>
    </xf>
    <xf numFmtId="0" fontId="33" fillId="0" borderId="0" xfId="0" applyFont="1" applyFill="1" applyBorder="1" applyAlignment="1">
      <alignment horizontal="center" vertical="top" wrapText="1"/>
    </xf>
    <xf numFmtId="0" fontId="0" fillId="0" borderId="0" xfId="0" applyBorder="1" applyAlignment="1">
      <alignment horizontal="center" vertical="top" wrapText="1"/>
    </xf>
    <xf numFmtId="0" fontId="21" fillId="0" borderId="0" xfId="0" applyFont="1" applyAlignment="1">
      <alignment horizontal="right" vertical="top" wrapText="1"/>
    </xf>
    <xf numFmtId="0" fontId="15" fillId="0" borderId="0" xfId="0" applyFont="1" applyBorder="1" applyAlignment="1">
      <alignment horizontal="center"/>
    </xf>
    <xf numFmtId="0" fontId="14" fillId="0" borderId="0" xfId="0" applyFont="1" applyBorder="1" applyAlignment="1">
      <alignment horizontal="center"/>
    </xf>
    <xf numFmtId="0" fontId="27"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38" fillId="0" borderId="0" xfId="0" applyFont="1" applyBorder="1" applyAlignment="1">
      <alignment vertical="top" wrapText="1"/>
    </xf>
    <xf numFmtId="0" fontId="0" fillId="0" borderId="0" xfId="0" applyBorder="1" applyAlignment="1">
      <alignment vertical="top" wrapText="1"/>
    </xf>
    <xf numFmtId="164" fontId="22" fillId="0" borderId="0" xfId="0" applyNumberFormat="1" applyFont="1" applyBorder="1" applyAlignment="1">
      <alignment horizontal="center"/>
    </xf>
    <xf numFmtId="0" fontId="31" fillId="0" borderId="0" xfId="0" applyFont="1" applyBorder="1" applyAlignment="1">
      <alignment vertical="top" wrapText="1"/>
    </xf>
    <xf numFmtId="1" fontId="42" fillId="0" borderId="0" xfId="0" applyNumberFormat="1" applyFont="1" applyBorder="1" applyAlignment="1">
      <alignment horizontal="center"/>
    </xf>
    <xf numFmtId="0" fontId="33" fillId="0" borderId="0" xfId="0" applyFont="1" applyBorder="1" applyAlignment="1">
      <alignment vertical="top" wrapText="1"/>
    </xf>
    <xf numFmtId="3" fontId="15" fillId="0" borderId="0" xfId="0" applyNumberFormat="1" applyFont="1" applyFill="1" applyAlignment="1">
      <alignment horizontal="center"/>
    </xf>
    <xf numFmtId="0" fontId="7" fillId="0" borderId="0" xfId="0" applyFont="1" applyFill="1" applyAlignment="1">
      <alignment horizontal="right"/>
    </xf>
    <xf numFmtId="0" fontId="0" fillId="0" borderId="0" xfId="0" applyFill="1" applyBorder="1"/>
    <xf numFmtId="0" fontId="34" fillId="0" borderId="0" xfId="0" applyFont="1" applyBorder="1" applyAlignment="1">
      <alignment horizontal="center" vertical="top" wrapText="1"/>
    </xf>
    <xf numFmtId="164" fontId="29" fillId="0" borderId="0" xfId="0" applyNumberFormat="1" applyFont="1" applyBorder="1" applyAlignment="1">
      <alignment horizontal="left" vertical="top" wrapText="1"/>
    </xf>
    <xf numFmtId="0" fontId="30" fillId="0" borderId="0" xfId="0" applyFont="1" applyBorder="1" applyAlignment="1">
      <alignment horizontal="center" vertical="top" wrapText="1"/>
    </xf>
    <xf numFmtId="0" fontId="30" fillId="0" borderId="0" xfId="0" applyFont="1" applyFill="1" applyBorder="1" applyAlignment="1">
      <alignment horizontal="center" vertical="top" wrapText="1"/>
    </xf>
    <xf numFmtId="0" fontId="36" fillId="0" borderId="0" xfId="0" applyFont="1" applyFill="1" applyBorder="1" applyAlignment="1">
      <alignment vertical="top" wrapText="1"/>
    </xf>
    <xf numFmtId="0" fontId="32" fillId="0" borderId="0" xfId="0" applyFont="1" applyBorder="1"/>
    <xf numFmtId="1" fontId="14" fillId="0" borderId="0" xfId="0" applyNumberFormat="1" applyFont="1" applyBorder="1" applyAlignment="1">
      <alignment horizontal="center"/>
    </xf>
    <xf numFmtId="164" fontId="45" fillId="0" borderId="0" xfId="0" applyNumberFormat="1" applyFont="1" applyBorder="1" applyAlignment="1">
      <alignment horizontal="center"/>
    </xf>
    <xf numFmtId="0" fontId="34" fillId="0" borderId="0" xfId="0" applyFont="1" applyBorder="1" applyAlignment="1">
      <alignment vertical="top" wrapText="1"/>
    </xf>
    <xf numFmtId="1" fontId="32" fillId="0" borderId="0" xfId="0" applyNumberFormat="1" applyFont="1" applyBorder="1"/>
    <xf numFmtId="164" fontId="23" fillId="0" borderId="0" xfId="0" applyNumberFormat="1" applyFont="1" applyBorder="1" applyAlignment="1">
      <alignment horizontal="right" vertical="top" wrapText="1"/>
    </xf>
    <xf numFmtId="0" fontId="7" fillId="0" borderId="0" xfId="0" applyFont="1" applyFill="1" applyBorder="1" applyAlignment="1">
      <alignment horizontal="right"/>
    </xf>
    <xf numFmtId="0" fontId="9" fillId="0" borderId="0" xfId="0" applyFont="1" applyFill="1" applyBorder="1" applyAlignment="1">
      <alignment horizontal="right"/>
    </xf>
    <xf numFmtId="164" fontId="22" fillId="0" borderId="0" xfId="0" applyNumberFormat="1" applyFont="1" applyFill="1" applyBorder="1" applyAlignment="1">
      <alignment horizontal="center"/>
    </xf>
    <xf numFmtId="0" fontId="8" fillId="0" borderId="0" xfId="0" applyFont="1" applyFill="1" applyBorder="1" applyAlignment="1">
      <alignment horizontal="right"/>
    </xf>
    <xf numFmtId="0" fontId="33" fillId="0" borderId="0" xfId="0" applyFont="1" applyBorder="1" applyAlignment="1">
      <alignment horizontal="center" vertical="top" wrapText="1"/>
    </xf>
    <xf numFmtId="0" fontId="7" fillId="0" borderId="0" xfId="0" applyFont="1" applyBorder="1" applyAlignment="1">
      <alignment horizontal="right"/>
    </xf>
    <xf numFmtId="0" fontId="2" fillId="0" borderId="0" xfId="0" applyFont="1" applyBorder="1" applyAlignment="1">
      <alignment vertical="top" wrapText="1"/>
    </xf>
    <xf numFmtId="0" fontId="47" fillId="0" borderId="0" xfId="0" applyFont="1" applyBorder="1"/>
    <xf numFmtId="0" fontId="8" fillId="0" borderId="0" xfId="0" applyFont="1" applyBorder="1" applyAlignment="1">
      <alignment horizontal="right"/>
    </xf>
    <xf numFmtId="0" fontId="35" fillId="0" borderId="0" xfId="0" applyFont="1" applyBorder="1" applyAlignment="1">
      <alignment vertical="top"/>
    </xf>
    <xf numFmtId="0" fontId="10" fillId="0" borderId="0" xfId="0" applyFont="1"/>
    <xf numFmtId="164" fontId="50" fillId="0" borderId="0" xfId="0" applyNumberFormat="1" applyFont="1" applyFill="1" applyBorder="1" applyAlignment="1">
      <alignment horizontal="center"/>
    </xf>
    <xf numFmtId="0" fontId="52" fillId="0" borderId="0" xfId="0" applyFont="1" applyFill="1" applyBorder="1"/>
    <xf numFmtId="164" fontId="41" fillId="0" borderId="0" xfId="0" applyNumberFormat="1" applyFont="1" applyFill="1" applyBorder="1" applyAlignment="1">
      <alignment horizontal="center"/>
    </xf>
    <xf numFmtId="0" fontId="49" fillId="0" borderId="0" xfId="0" applyFont="1" applyFill="1" applyBorder="1" applyAlignment="1">
      <alignment wrapText="1"/>
    </xf>
    <xf numFmtId="0" fontId="49" fillId="0" borderId="0" xfId="0" applyFont="1" applyFill="1"/>
    <xf numFmtId="0" fontId="51" fillId="0" borderId="0" xfId="0" applyFont="1" applyFill="1" applyBorder="1" applyAlignment="1">
      <alignment vertical="top" wrapText="1"/>
    </xf>
    <xf numFmtId="0" fontId="53" fillId="0" borderId="0" xfId="0" applyFont="1" applyFill="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29" fillId="0" borderId="2" xfId="0" applyFont="1" applyFill="1" applyBorder="1" applyAlignment="1">
      <alignment horizontal="center" vertical="top" wrapText="1"/>
    </xf>
    <xf numFmtId="0" fontId="35" fillId="0" borderId="1" xfId="0" applyFont="1" applyBorder="1" applyAlignment="1">
      <alignment vertical="top" wrapText="1"/>
    </xf>
    <xf numFmtId="0" fontId="34" fillId="0" borderId="2" xfId="0" applyFont="1" applyBorder="1" applyAlignment="1">
      <alignment horizontal="right" vertical="top" wrapText="1"/>
    </xf>
    <xf numFmtId="164" fontId="15" fillId="0" borderId="1" xfId="0" applyNumberFormat="1" applyFont="1" applyBorder="1" applyAlignment="1">
      <alignment horizontal="center"/>
    </xf>
    <xf numFmtId="0" fontId="49" fillId="0" borderId="2" xfId="0" applyFont="1" applyFill="1" applyBorder="1"/>
    <xf numFmtId="164" fontId="26" fillId="0" borderId="2" xfId="0" applyNumberFormat="1" applyFont="1" applyBorder="1" applyAlignment="1">
      <alignment horizontal="center"/>
    </xf>
    <xf numFmtId="0" fontId="0" fillId="0" borderId="2" xfId="0" applyBorder="1"/>
    <xf numFmtId="164" fontId="26" fillId="0" borderId="1" xfId="0" applyNumberFormat="1" applyFont="1" applyBorder="1" applyAlignment="1">
      <alignment horizontal="center"/>
    </xf>
    <xf numFmtId="164" fontId="23" fillId="0" borderId="1" xfId="0" applyNumberFormat="1" applyFont="1" applyBorder="1" applyAlignment="1">
      <alignment horizontal="left" vertical="top" wrapText="1"/>
    </xf>
    <xf numFmtId="164" fontId="23" fillId="0" borderId="1" xfId="0" applyNumberFormat="1" applyFont="1" applyBorder="1" applyAlignment="1">
      <alignment horizontal="right" vertical="top" wrapText="1"/>
    </xf>
    <xf numFmtId="0" fontId="52" fillId="0" borderId="0" xfId="0" applyFont="1"/>
    <xf numFmtId="3" fontId="58" fillId="0" borderId="0" xfId="0" applyNumberFormat="1" applyFont="1" applyAlignment="1">
      <alignment horizontal="center"/>
    </xf>
    <xf numFmtId="0" fontId="58" fillId="0" borderId="0" xfId="0" applyFont="1"/>
    <xf numFmtId="0" fontId="59" fillId="0" borderId="0" xfId="0" applyFont="1" applyAlignment="1">
      <alignment horizontal="center"/>
    </xf>
    <xf numFmtId="3" fontId="0" fillId="0" borderId="0" xfId="0" applyNumberFormat="1"/>
    <xf numFmtId="0" fontId="60" fillId="0" borderId="0" xfId="0" applyFont="1"/>
    <xf numFmtId="0" fontId="60" fillId="0" borderId="0" xfId="0" applyFont="1" applyBorder="1"/>
    <xf numFmtId="0" fontId="61" fillId="0" borderId="0" xfId="0" applyFont="1" applyBorder="1" applyAlignment="1">
      <alignment horizontal="center" vertical="top" wrapText="1"/>
    </xf>
    <xf numFmtId="0" fontId="61" fillId="0" borderId="0" xfId="0" applyFont="1" applyBorder="1" applyAlignment="1">
      <alignment vertical="top" wrapText="1"/>
    </xf>
    <xf numFmtId="164" fontId="59" fillId="0" borderId="0" xfId="0" applyNumberFormat="1" applyFont="1" applyFill="1" applyBorder="1" applyAlignment="1">
      <alignment horizontal="center"/>
    </xf>
    <xf numFmtId="164" fontId="58" fillId="0" borderId="0" xfId="0" applyNumberFormat="1" applyFont="1" applyBorder="1" applyAlignment="1">
      <alignment horizontal="center"/>
    </xf>
    <xf numFmtId="0" fontId="59" fillId="0" borderId="0" xfId="0" applyFont="1"/>
    <xf numFmtId="0" fontId="58" fillId="0" borderId="0" xfId="0" applyFont="1" applyAlignment="1">
      <alignment wrapText="1"/>
    </xf>
    <xf numFmtId="0" fontId="60" fillId="0" borderId="0" xfId="0" applyFont="1" applyAlignment="1">
      <alignment wrapText="1"/>
    </xf>
    <xf numFmtId="0" fontId="62" fillId="0" borderId="0" xfId="0" applyFont="1" applyAlignment="1">
      <alignment wrapText="1"/>
    </xf>
    <xf numFmtId="0" fontId="63" fillId="0" borderId="0" xfId="0" applyFont="1" applyAlignment="1">
      <alignment wrapText="1"/>
    </xf>
    <xf numFmtId="0" fontId="55" fillId="0" borderId="0" xfId="0" applyFont="1" applyFill="1" applyBorder="1" applyAlignment="1">
      <alignment vertical="top" wrapText="1"/>
    </xf>
    <xf numFmtId="0" fontId="65" fillId="0" borderId="0" xfId="0" applyFont="1" applyFill="1" applyBorder="1" applyAlignment="1">
      <alignment horizontal="center" vertical="top" wrapText="1"/>
    </xf>
    <xf numFmtId="164" fontId="64" fillId="0" borderId="0" xfId="0" applyNumberFormat="1" applyFont="1" applyFill="1" applyBorder="1" applyAlignment="1">
      <alignment horizontal="right" vertical="top" wrapText="1"/>
    </xf>
    <xf numFmtId="0" fontId="8" fillId="0" borderId="0" xfId="0" applyFont="1" applyFill="1" applyBorder="1" applyAlignment="1">
      <alignment horizontal="center"/>
    </xf>
    <xf numFmtId="0" fontId="70" fillId="0" borderId="0" xfId="0" applyFont="1" applyFill="1" applyAlignment="1">
      <alignment horizontal="right"/>
    </xf>
    <xf numFmtId="0" fontId="70" fillId="0" borderId="0" xfId="0" applyFont="1" applyFill="1" applyBorder="1" applyAlignment="1">
      <alignment horizontal="right"/>
    </xf>
    <xf numFmtId="0" fontId="31" fillId="0" borderId="0" xfId="0" applyFont="1" applyFill="1" applyBorder="1" applyAlignment="1">
      <alignment vertical="top" wrapText="1"/>
    </xf>
    <xf numFmtId="165" fontId="42" fillId="0" borderId="0" xfId="0" applyNumberFormat="1" applyFont="1" applyBorder="1" applyAlignment="1">
      <alignment horizontal="center"/>
    </xf>
    <xf numFmtId="0" fontId="71" fillId="0" borderId="0" xfId="0" applyFont="1" applyBorder="1" applyAlignment="1">
      <alignment horizontal="center" vertical="top" wrapText="1"/>
    </xf>
    <xf numFmtId="164" fontId="73" fillId="0" borderId="0" xfId="0" applyNumberFormat="1" applyFont="1" applyBorder="1" applyAlignment="1">
      <alignment horizontal="center"/>
    </xf>
    <xf numFmtId="0" fontId="9" fillId="0" borderId="0" xfId="0" applyFont="1" applyFill="1" applyAlignment="1">
      <alignment horizontal="center"/>
    </xf>
    <xf numFmtId="0" fontId="33" fillId="0"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89" fillId="0" borderId="0" xfId="0" applyFont="1" applyFill="1"/>
    <xf numFmtId="0" fontId="86" fillId="0" borderId="0" xfId="0" applyFont="1" applyFill="1"/>
    <xf numFmtId="3" fontId="86" fillId="0" borderId="0" xfId="0" applyNumberFormat="1" applyFont="1" applyFill="1"/>
    <xf numFmtId="0" fontId="0" fillId="0" borderId="0" xfId="0" applyFill="1" applyBorder="1" applyAlignment="1">
      <alignment vertical="top" wrapText="1"/>
    </xf>
    <xf numFmtId="164" fontId="23" fillId="0" borderId="0" xfId="0" applyNumberFormat="1" applyFont="1" applyBorder="1" applyAlignment="1">
      <alignment horizontal="left" vertical="top" wrapText="1"/>
    </xf>
    <xf numFmtId="0" fontId="7" fillId="0" borderId="2" xfId="0" applyFont="1" applyBorder="1" applyAlignment="1">
      <alignment horizontal="center"/>
    </xf>
    <xf numFmtId="0" fontId="7" fillId="0" borderId="0" xfId="0" applyFont="1" applyBorder="1" applyAlignment="1">
      <alignment horizontal="center"/>
    </xf>
    <xf numFmtId="0" fontId="15" fillId="0" borderId="0" xfId="0" applyFont="1" applyFill="1" applyBorder="1" applyAlignment="1">
      <alignment horizontal="center"/>
    </xf>
    <xf numFmtId="0" fontId="38" fillId="0" borderId="0" xfId="0" applyFont="1" applyFill="1" applyBorder="1" applyAlignment="1">
      <alignment vertical="top" wrapText="1"/>
    </xf>
    <xf numFmtId="164" fontId="11" fillId="0" borderId="0" xfId="0" applyNumberFormat="1" applyFont="1" applyFill="1" applyBorder="1" applyAlignment="1">
      <alignment horizontal="center"/>
    </xf>
    <xf numFmtId="0" fontId="55" fillId="0" borderId="0" xfId="0" applyFont="1" applyFill="1" applyBorder="1" applyAlignment="1">
      <alignment horizontal="center" vertical="top" wrapText="1"/>
    </xf>
    <xf numFmtId="0" fontId="0" fillId="0" borderId="0" xfId="0" applyFill="1" applyAlignment="1">
      <alignment horizontal="left" vertical="top" wrapText="1"/>
    </xf>
    <xf numFmtId="0" fontId="34" fillId="0" borderId="0" xfId="0" applyFont="1" applyFill="1" applyBorder="1" applyAlignment="1">
      <alignment vertical="top" wrapText="1"/>
    </xf>
    <xf numFmtId="164" fontId="45" fillId="0" borderId="0" xfId="0" applyNumberFormat="1" applyFont="1" applyFill="1" applyBorder="1" applyAlignment="1">
      <alignment horizontal="center"/>
    </xf>
    <xf numFmtId="0" fontId="34" fillId="0" borderId="0" xfId="0" applyFont="1" applyFill="1" applyBorder="1" applyAlignment="1">
      <alignment horizontal="center" vertical="top" wrapText="1"/>
    </xf>
    <xf numFmtId="164" fontId="29" fillId="0" borderId="0" xfId="0" applyNumberFormat="1" applyFont="1" applyFill="1" applyBorder="1" applyAlignment="1">
      <alignment horizontal="left" vertical="top" wrapText="1"/>
    </xf>
    <xf numFmtId="164" fontId="40" fillId="0" borderId="0" xfId="0" applyNumberFormat="1" applyFont="1" applyFill="1" applyBorder="1" applyAlignment="1">
      <alignment horizontal="center"/>
    </xf>
    <xf numFmtId="0" fontId="0" fillId="0" borderId="0" xfId="0" applyBorder="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164" fontId="26" fillId="0" borderId="0" xfId="0" applyNumberFormat="1" applyFont="1" applyAlignment="1">
      <alignment horizontal="center" vertical="center"/>
    </xf>
    <xf numFmtId="0" fontId="95" fillId="0" borderId="1" xfId="0" applyFont="1" applyBorder="1" applyAlignment="1">
      <alignment horizontal="center" vertical="top" wrapText="1"/>
    </xf>
    <xf numFmtId="0" fontId="95" fillId="0" borderId="0" xfId="0" applyFont="1" applyBorder="1" applyAlignment="1">
      <alignment horizontal="center" vertical="top" wrapText="1"/>
    </xf>
    <xf numFmtId="0" fontId="7" fillId="0" borderId="1" xfId="0" applyFont="1" applyFill="1" applyBorder="1" applyAlignment="1">
      <alignment horizontal="center"/>
    </xf>
    <xf numFmtId="0" fontId="92" fillId="0" borderId="0" xfId="0" applyFont="1"/>
    <xf numFmtId="1" fontId="76" fillId="0" borderId="0" xfId="0" applyNumberFormat="1" applyFont="1" applyBorder="1" applyAlignment="1">
      <alignment horizontal="center"/>
    </xf>
    <xf numFmtId="0" fontId="23" fillId="2" borderId="1" xfId="0" applyFont="1" applyFill="1" applyBorder="1" applyAlignment="1">
      <alignment horizontal="center" vertical="top" wrapText="1"/>
    </xf>
    <xf numFmtId="0" fontId="17" fillId="2" borderId="2" xfId="0" applyFont="1" applyFill="1" applyBorder="1" applyAlignment="1">
      <alignment horizontal="center" vertical="top" wrapText="1"/>
    </xf>
    <xf numFmtId="0" fontId="76" fillId="0" borderId="0" xfId="0" applyFont="1" applyBorder="1" applyAlignment="1">
      <alignment horizontal="center"/>
    </xf>
    <xf numFmtId="164" fontId="76" fillId="0" borderId="0" xfId="0" applyNumberFormat="1" applyFont="1" applyBorder="1" applyAlignment="1">
      <alignment horizontal="center"/>
    </xf>
    <xf numFmtId="0" fontId="100" fillId="0" borderId="0" xfId="0" applyFont="1" applyFill="1" applyBorder="1" applyAlignment="1">
      <alignment horizontal="center" vertical="top" wrapText="1"/>
    </xf>
    <xf numFmtId="164" fontId="75" fillId="0" borderId="0" xfId="0" applyNumberFormat="1" applyFont="1" applyFill="1" applyBorder="1" applyAlignment="1">
      <alignment horizontal="center" vertical="top" wrapText="1"/>
    </xf>
    <xf numFmtId="0" fontId="76" fillId="0" borderId="0" xfId="0" applyFont="1" applyFill="1" applyBorder="1" applyAlignment="1">
      <alignment horizontal="center"/>
    </xf>
    <xf numFmtId="0" fontId="76" fillId="0" borderId="0" xfId="0" applyFont="1" applyFill="1" applyBorder="1" applyAlignment="1">
      <alignment horizontal="center" vertical="center" wrapText="1"/>
    </xf>
    <xf numFmtId="3" fontId="76" fillId="0" borderId="0" xfId="0" applyNumberFormat="1" applyFont="1" applyBorder="1" applyAlignment="1">
      <alignment horizontal="center"/>
    </xf>
    <xf numFmtId="0" fontId="34" fillId="0" borderId="0" xfId="0" applyFont="1" applyBorder="1" applyAlignment="1">
      <alignment horizontal="right" vertical="top" wrapText="1"/>
    </xf>
    <xf numFmtId="0" fontId="95" fillId="0" borderId="0" xfId="0" applyFont="1" applyFill="1" applyBorder="1" applyAlignment="1">
      <alignment horizontal="center" vertical="top" wrapText="1"/>
    </xf>
    <xf numFmtId="0" fontId="103" fillId="0" borderId="1" xfId="0" applyFont="1" applyFill="1" applyBorder="1" applyAlignment="1">
      <alignment vertical="top" wrapText="1"/>
    </xf>
    <xf numFmtId="0" fontId="0" fillId="0" borderId="0" xfId="0" applyFill="1" applyAlignment="1">
      <alignment horizontal="center"/>
    </xf>
    <xf numFmtId="0" fontId="76" fillId="0" borderId="0" xfId="0" applyFont="1" applyFill="1" applyAlignment="1">
      <alignment horizontal="center"/>
    </xf>
    <xf numFmtId="1" fontId="76" fillId="0" borderId="0" xfId="0" applyNumberFormat="1" applyFont="1" applyFill="1" applyAlignment="1">
      <alignment horizontal="center"/>
    </xf>
    <xf numFmtId="3" fontId="76" fillId="0" borderId="0" xfId="0" applyNumberFormat="1" applyFont="1" applyFill="1" applyAlignment="1">
      <alignment horizontal="center"/>
    </xf>
    <xf numFmtId="0" fontId="77" fillId="0" borderId="0" xfId="0" applyFont="1" applyFill="1" applyBorder="1" applyAlignment="1">
      <alignment horizontal="right" vertical="top" wrapText="1"/>
    </xf>
    <xf numFmtId="0" fontId="95" fillId="0" borderId="0" xfId="0" applyFont="1" applyFill="1" applyBorder="1" applyAlignment="1">
      <alignment horizontal="right" vertical="top" wrapText="1"/>
    </xf>
    <xf numFmtId="0" fontId="29" fillId="0" borderId="0" xfId="0" applyFont="1" applyFill="1" applyBorder="1" applyAlignment="1">
      <alignment horizontal="center" vertical="top" wrapText="1"/>
    </xf>
    <xf numFmtId="0" fontId="7" fillId="0" borderId="1" xfId="0" applyFont="1" applyBorder="1" applyAlignment="1">
      <alignment horizontal="center"/>
    </xf>
    <xf numFmtId="0" fontId="77" fillId="0" borderId="0" xfId="0" applyFont="1" applyFill="1" applyBorder="1" applyAlignment="1">
      <alignment vertical="top" wrapText="1"/>
    </xf>
    <xf numFmtId="0" fontId="23" fillId="3" borderId="1" xfId="0" applyFont="1" applyFill="1" applyBorder="1" applyAlignment="1">
      <alignment horizontal="center" vertical="top" wrapText="1"/>
    </xf>
    <xf numFmtId="0" fontId="17" fillId="3" borderId="2" xfId="0" applyFont="1" applyFill="1" applyBorder="1" applyAlignment="1">
      <alignment horizontal="center" vertical="top" wrapText="1"/>
    </xf>
    <xf numFmtId="0" fontId="76" fillId="0" borderId="0" xfId="0" applyFont="1" applyFill="1" applyBorder="1" applyAlignment="1">
      <alignment horizontal="center" vertical="top" wrapText="1"/>
    </xf>
    <xf numFmtId="1" fontId="76" fillId="0" borderId="0" xfId="0" applyNumberFormat="1" applyFont="1" applyFill="1" applyBorder="1" applyAlignment="1">
      <alignment horizontal="center"/>
    </xf>
    <xf numFmtId="0" fontId="95" fillId="4" borderId="1" xfId="0" applyFont="1" applyFill="1" applyBorder="1" applyAlignment="1">
      <alignment horizontal="center" vertical="top" wrapText="1"/>
    </xf>
    <xf numFmtId="164" fontId="29" fillId="0" borderId="1" xfId="0" applyNumberFormat="1" applyFont="1" applyBorder="1" applyAlignment="1">
      <alignment horizontal="left" vertical="top" wrapText="1"/>
    </xf>
    <xf numFmtId="0" fontId="29" fillId="0" borderId="3" xfId="0" applyFont="1" applyFill="1" applyBorder="1" applyAlignment="1">
      <alignment horizontal="center" vertical="top" wrapText="1"/>
    </xf>
    <xf numFmtId="0" fontId="0" fillId="0" borderId="0" xfId="0" applyBorder="1" applyAlignment="1">
      <alignment horizontal="left" vertical="top" wrapText="1"/>
    </xf>
    <xf numFmtId="0" fontId="60" fillId="0" borderId="0" xfId="0" applyFont="1" applyFill="1"/>
    <xf numFmtId="0" fontId="1" fillId="0" borderId="0" xfId="0" applyFont="1" applyFill="1" applyBorder="1" applyAlignment="1">
      <alignment horizontal="center" vertical="top" wrapText="1"/>
    </xf>
    <xf numFmtId="0" fontId="0" fillId="0" borderId="0" xfId="0" applyFill="1" applyBorder="1" applyAlignment="1">
      <alignment wrapText="1"/>
    </xf>
    <xf numFmtId="0" fontId="56" fillId="0" borderId="0" xfId="0" applyFont="1" applyFill="1" applyBorder="1" applyAlignment="1">
      <alignment horizontal="center" vertical="top" wrapText="1"/>
    </xf>
    <xf numFmtId="0" fontId="61" fillId="0" borderId="0" xfId="0" applyFont="1" applyFill="1" applyBorder="1" applyAlignment="1">
      <alignment horizontal="center" vertical="top" wrapText="1"/>
    </xf>
    <xf numFmtId="164" fontId="58" fillId="0" borderId="0" xfId="0" applyNumberFormat="1" applyFont="1" applyFill="1" applyAlignment="1">
      <alignment horizontal="center"/>
    </xf>
    <xf numFmtId="0" fontId="2" fillId="0" borderId="0" xfId="0" applyFont="1" applyFill="1" applyBorder="1"/>
    <xf numFmtId="0" fontId="66" fillId="0" borderId="0" xfId="0" applyFont="1" applyFill="1" applyBorder="1" applyAlignment="1">
      <alignment vertical="top" wrapText="1"/>
    </xf>
    <xf numFmtId="164" fontId="67" fillId="0" borderId="0" xfId="0" applyNumberFormat="1" applyFont="1" applyFill="1" applyBorder="1" applyAlignment="1">
      <alignment horizontal="left" vertical="top" wrapText="1"/>
    </xf>
    <xf numFmtId="164" fontId="58" fillId="0" borderId="0" xfId="0" applyNumberFormat="1" applyFont="1" applyFill="1" applyBorder="1" applyAlignment="1">
      <alignment horizontal="center"/>
    </xf>
    <xf numFmtId="0" fontId="32" fillId="0" borderId="0" xfId="0" applyFont="1" applyFill="1" applyBorder="1" applyAlignment="1">
      <alignment horizontal="center" vertical="top" wrapText="1"/>
    </xf>
    <xf numFmtId="0" fontId="32" fillId="0" borderId="0" xfId="0" applyFont="1" applyFill="1" applyBorder="1" applyAlignment="1">
      <alignment vertical="top" wrapText="1"/>
    </xf>
    <xf numFmtId="0" fontId="113" fillId="0" borderId="0" xfId="0" applyFont="1" applyAlignment="1">
      <alignment horizontal="center"/>
    </xf>
    <xf numFmtId="0" fontId="113" fillId="0" borderId="2" xfId="0" applyFont="1" applyBorder="1" applyAlignment="1">
      <alignment horizontal="center"/>
    </xf>
    <xf numFmtId="0" fontId="94" fillId="0" borderId="1" xfId="0" applyFont="1" applyBorder="1" applyAlignment="1">
      <alignment horizontal="center"/>
    </xf>
    <xf numFmtId="0" fontId="94" fillId="0" borderId="0" xfId="0" applyFont="1" applyAlignment="1">
      <alignment horizontal="center"/>
    </xf>
    <xf numFmtId="0" fontId="94" fillId="0" borderId="2" xfId="0" applyFont="1" applyBorder="1" applyAlignment="1">
      <alignment horizontal="center"/>
    </xf>
    <xf numFmtId="0" fontId="94" fillId="0" borderId="0" xfId="0" applyFont="1" applyBorder="1" applyAlignment="1">
      <alignment horizontal="center"/>
    </xf>
    <xf numFmtId="164" fontId="75" fillId="0" borderId="0" xfId="0" applyNumberFormat="1" applyFont="1" applyFill="1" applyBorder="1" applyAlignment="1">
      <alignment horizontal="center"/>
    </xf>
    <xf numFmtId="0" fontId="106" fillId="0" borderId="0" xfId="0" applyFont="1" applyBorder="1" applyAlignment="1">
      <alignment horizontal="center" vertical="top" wrapText="1"/>
    </xf>
    <xf numFmtId="0" fontId="106" fillId="0" borderId="0" xfId="0" applyFont="1" applyFill="1" applyBorder="1" applyAlignment="1">
      <alignment horizontal="center" vertical="top" wrapText="1"/>
    </xf>
    <xf numFmtId="0" fontId="97" fillId="0" borderId="0" xfId="0" applyFont="1" applyFill="1" applyBorder="1" applyAlignment="1">
      <alignment horizontal="center" vertical="center"/>
    </xf>
    <xf numFmtId="0" fontId="94" fillId="0" borderId="0" xfId="0" applyFont="1" applyFill="1" applyBorder="1" applyAlignment="1">
      <alignment horizontal="center"/>
    </xf>
    <xf numFmtId="0" fontId="77" fillId="0" borderId="1" xfId="0" applyFont="1" applyFill="1" applyBorder="1" applyAlignment="1">
      <alignment horizontal="left" vertical="top"/>
    </xf>
    <xf numFmtId="0" fontId="35" fillId="0" borderId="1" xfId="0" applyFont="1" applyBorder="1" applyAlignment="1">
      <alignment horizontal="right" vertical="top"/>
    </xf>
    <xf numFmtId="0" fontId="0" fillId="0" borderId="1" xfId="0" applyBorder="1" applyAlignment="1">
      <alignment horizontal="right" vertical="top"/>
    </xf>
    <xf numFmtId="0" fontId="35" fillId="0" borderId="1" xfId="0" applyFont="1" applyBorder="1" applyAlignment="1">
      <alignment horizontal="right" vertical="top" wrapText="1"/>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60" fillId="0" borderId="0" xfId="0" applyFont="1" applyAlignment="1">
      <alignment vertical="center"/>
    </xf>
    <xf numFmtId="164" fontId="26" fillId="0" borderId="1" xfId="0" applyNumberFormat="1" applyFont="1" applyFill="1" applyBorder="1" applyAlignment="1">
      <alignment horizontal="center"/>
    </xf>
    <xf numFmtId="0" fontId="36" fillId="0" borderId="2" xfId="0" applyFont="1" applyFill="1" applyBorder="1" applyAlignment="1">
      <alignment vertical="top" wrapText="1"/>
    </xf>
    <xf numFmtId="164" fontId="75" fillId="0" borderId="0" xfId="0" applyNumberFormat="1" applyFont="1" applyFill="1" applyAlignment="1">
      <alignment horizontal="center" vertical="center"/>
    </xf>
    <xf numFmtId="0" fontId="33" fillId="0" borderId="1" xfId="0" applyFont="1" applyBorder="1" applyAlignment="1">
      <alignment horizontal="center" vertical="top"/>
    </xf>
    <xf numFmtId="0" fontId="24" fillId="0" borderId="1" xfId="0" applyFont="1" applyBorder="1" applyAlignment="1">
      <alignment vertical="top"/>
    </xf>
    <xf numFmtId="0" fontId="77" fillId="0" borderId="0" xfId="0" applyFont="1" applyFill="1" applyBorder="1" applyAlignment="1">
      <alignment horizontal="left" vertical="top" wrapText="1"/>
    </xf>
    <xf numFmtId="164" fontId="23" fillId="0" borderId="1" xfId="0" applyNumberFormat="1" applyFont="1" applyBorder="1" applyAlignment="1">
      <alignment horizontal="left" vertical="top"/>
    </xf>
    <xf numFmtId="164" fontId="29" fillId="0" borderId="1" xfId="0" applyNumberFormat="1" applyFont="1" applyBorder="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center" vertical="top" wrapText="1"/>
    </xf>
    <xf numFmtId="164" fontId="124" fillId="0" borderId="0" xfId="0" applyNumberFormat="1" applyFont="1" applyBorder="1" applyAlignment="1">
      <alignment horizontal="center"/>
    </xf>
    <xf numFmtId="0" fontId="0" fillId="0" borderId="0" xfId="0" applyFont="1"/>
    <xf numFmtId="0" fontId="117" fillId="0" borderId="0" xfId="0" applyFont="1" applyAlignment="1">
      <alignment horizontal="center" vertical="top" wrapText="1"/>
    </xf>
    <xf numFmtId="0" fontId="9" fillId="0" borderId="0" xfId="0" applyFont="1" applyFill="1" applyAlignment="1">
      <alignment horizontal="center" vertical="center"/>
    </xf>
    <xf numFmtId="0" fontId="8" fillId="0" borderId="0" xfId="0" applyFont="1" applyFill="1" applyAlignment="1">
      <alignment horizontal="right" vertical="center"/>
    </xf>
    <xf numFmtId="0" fontId="76" fillId="0" borderId="1" xfId="0" applyFont="1" applyFill="1" applyBorder="1" applyAlignment="1">
      <alignment horizontal="center" vertical="center"/>
    </xf>
    <xf numFmtId="0" fontId="76" fillId="0" borderId="0" xfId="0" applyFont="1" applyFill="1" applyBorder="1" applyAlignment="1">
      <alignment horizontal="center" vertical="center"/>
    </xf>
    <xf numFmtId="164" fontId="75" fillId="0" borderId="2" xfId="0" applyNumberFormat="1" applyFont="1" applyBorder="1" applyAlignment="1">
      <alignment horizontal="center" vertical="center"/>
    </xf>
    <xf numFmtId="1" fontId="76" fillId="0" borderId="0" xfId="0" applyNumberFormat="1" applyFont="1" applyBorder="1" applyAlignment="1">
      <alignment horizontal="center" vertical="center"/>
    </xf>
    <xf numFmtId="1" fontId="76" fillId="0" borderId="0" xfId="0" applyNumberFormat="1" applyFont="1" applyFill="1" applyBorder="1" applyAlignment="1">
      <alignment horizontal="center" vertical="center"/>
    </xf>
    <xf numFmtId="3" fontId="76" fillId="0" borderId="0" xfId="0" applyNumberFormat="1" applyFont="1" applyBorder="1" applyAlignment="1">
      <alignment horizontal="center" vertical="center"/>
    </xf>
    <xf numFmtId="164" fontId="75" fillId="0" borderId="2" xfId="0" applyNumberFormat="1" applyFont="1" applyFill="1" applyBorder="1" applyAlignment="1">
      <alignment horizontal="center" vertical="center"/>
    </xf>
    <xf numFmtId="164" fontId="75" fillId="0" borderId="0" xfId="0" applyNumberFormat="1" applyFont="1" applyFill="1" applyBorder="1" applyAlignment="1">
      <alignment horizontal="center" vertical="center"/>
    </xf>
    <xf numFmtId="0" fontId="8" fillId="0" borderId="0" xfId="0" applyFont="1" applyAlignment="1">
      <alignment horizontal="right" vertical="center"/>
    </xf>
    <xf numFmtId="164" fontId="26" fillId="0" borderId="0" xfId="0" applyNumberFormat="1" applyFont="1" applyFill="1" applyAlignment="1">
      <alignment horizontal="center" vertical="center"/>
    </xf>
    <xf numFmtId="3" fontId="14" fillId="0" borderId="0" xfId="0" applyNumberFormat="1" applyFont="1" applyAlignment="1">
      <alignment horizontal="center" vertical="center"/>
    </xf>
    <xf numFmtId="164" fontId="75" fillId="2" borderId="1" xfId="0" applyNumberFormat="1" applyFont="1" applyFill="1" applyBorder="1" applyAlignment="1">
      <alignment horizontal="center" vertical="center"/>
    </xf>
    <xf numFmtId="164" fontId="90" fillId="2" borderId="2" xfId="0" applyNumberFormat="1" applyFont="1" applyFill="1" applyBorder="1" applyAlignment="1">
      <alignment horizontal="center" vertical="center"/>
    </xf>
    <xf numFmtId="0" fontId="0" fillId="0" borderId="0" xfId="0" applyFill="1" applyAlignment="1">
      <alignment vertical="center"/>
    </xf>
    <xf numFmtId="0" fontId="8" fillId="0" borderId="0" xfId="0" applyFont="1" applyFill="1" applyAlignment="1">
      <alignment horizontal="center" vertical="center"/>
    </xf>
    <xf numFmtId="165" fontId="105" fillId="0" borderId="0" xfId="0" applyNumberFormat="1" applyFont="1" applyFill="1" applyAlignment="1">
      <alignment horizontal="center"/>
    </xf>
    <xf numFmtId="164" fontId="105" fillId="0" borderId="0" xfId="0" applyNumberFormat="1" applyFont="1" applyFill="1" applyAlignment="1">
      <alignment horizontal="center"/>
    </xf>
    <xf numFmtId="0" fontId="82" fillId="0" borderId="0" xfId="0" applyFont="1" applyFill="1" applyAlignment="1">
      <alignment horizontal="center"/>
    </xf>
    <xf numFmtId="1" fontId="112" fillId="0" borderId="0" xfId="0" applyNumberFormat="1" applyFont="1" applyFill="1" applyAlignment="1">
      <alignment horizontal="right"/>
    </xf>
    <xf numFmtId="164" fontId="105" fillId="0" borderId="0" xfId="0" applyNumberFormat="1" applyFont="1" applyFill="1" applyAlignment="1">
      <alignment horizontal="center" vertical="center"/>
    </xf>
    <xf numFmtId="0" fontId="115" fillId="0" borderId="0" xfId="0" applyFont="1" applyAlignment="1">
      <alignment horizontal="center" vertical="top" wrapText="1"/>
    </xf>
    <xf numFmtId="0" fontId="125" fillId="0" borderId="0" xfId="0" applyFont="1" applyFill="1" applyAlignment="1">
      <alignment vertical="center"/>
    </xf>
    <xf numFmtId="164" fontId="26" fillId="2" borderId="1"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0" fontId="130" fillId="0" borderId="0" xfId="1" applyFont="1" applyFill="1" applyBorder="1" applyAlignment="1">
      <alignment vertical="top" wrapText="1"/>
    </xf>
    <xf numFmtId="0" fontId="11" fillId="0" borderId="0" xfId="0" applyFont="1" applyFill="1" applyBorder="1" applyAlignment="1">
      <alignment horizontal="center"/>
    </xf>
    <xf numFmtId="164" fontId="57" fillId="0" borderId="0" xfId="0" applyNumberFormat="1" applyFont="1" applyFill="1" applyBorder="1" applyAlignment="1">
      <alignment horizontal="center"/>
    </xf>
    <xf numFmtId="164" fontId="13" fillId="0" borderId="0" xfId="0" applyNumberFormat="1" applyFont="1" applyBorder="1" applyAlignment="1">
      <alignment horizontal="center"/>
    </xf>
    <xf numFmtId="164" fontId="4" fillId="0" borderId="0" xfId="0" applyNumberFormat="1" applyFont="1" applyFill="1" applyBorder="1" applyAlignment="1">
      <alignment horizontal="center"/>
    </xf>
    <xf numFmtId="1" fontId="42"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48" fillId="0" borderId="0" xfId="0" applyFont="1" applyBorder="1" applyAlignment="1">
      <alignment horizontal="right" vertical="top" wrapText="1"/>
    </xf>
    <xf numFmtId="0" fontId="49" fillId="0" borderId="0" xfId="0" applyFont="1" applyFill="1" applyBorder="1" applyAlignment="1"/>
    <xf numFmtId="0" fontId="33" fillId="0" borderId="1" xfId="0" applyFont="1" applyBorder="1" applyAlignment="1">
      <alignment horizontal="center" vertical="top" wrapText="1"/>
    </xf>
    <xf numFmtId="0" fontId="68" fillId="0" borderId="0" xfId="0" applyFont="1" applyFill="1" applyAlignment="1">
      <alignment horizontal="center" vertical="top" wrapText="1"/>
    </xf>
    <xf numFmtId="0" fontId="0" fillId="0" borderId="0" xfId="0" applyAlignment="1">
      <alignment horizontal="center" vertical="center" wrapText="1"/>
    </xf>
    <xf numFmtId="0" fontId="35" fillId="0" borderId="1" xfId="0" applyFont="1" applyBorder="1" applyAlignment="1">
      <alignment vertical="top"/>
    </xf>
    <xf numFmtId="164" fontId="22" fillId="0" borderId="1" xfId="0" applyNumberFormat="1" applyFont="1" applyFill="1" applyBorder="1" applyAlignment="1">
      <alignment horizontal="center"/>
    </xf>
    <xf numFmtId="0" fontId="60" fillId="0" borderId="0" xfId="0" applyFont="1" applyAlignment="1">
      <alignment vertical="top"/>
    </xf>
    <xf numFmtId="0" fontId="98" fillId="0" borderId="0" xfId="0" applyFont="1" applyFill="1" applyAlignment="1">
      <alignment horizontal="center"/>
    </xf>
    <xf numFmtId="0" fontId="132" fillId="0" borderId="0" xfId="0" applyFont="1" applyAlignment="1">
      <alignment horizontal="center"/>
    </xf>
    <xf numFmtId="0" fontId="87" fillId="0" borderId="0" xfId="0" applyFont="1" applyFill="1" applyAlignment="1">
      <alignment horizontal="center"/>
    </xf>
    <xf numFmtId="0" fontId="7" fillId="0" borderId="0" xfId="0" applyFont="1" applyFill="1" applyBorder="1" applyAlignment="1">
      <alignment horizontal="right" vertical="center"/>
    </xf>
    <xf numFmtId="3" fontId="76" fillId="0" borderId="0" xfId="0" applyNumberFormat="1" applyFont="1" applyFill="1" applyBorder="1" applyAlignment="1">
      <alignment horizontal="center" vertical="center"/>
    </xf>
    <xf numFmtId="0" fontId="7" fillId="0" borderId="0" xfId="0" applyFont="1" applyFill="1" applyAlignment="1">
      <alignment horizontal="right" vertical="center"/>
    </xf>
    <xf numFmtId="0" fontId="81" fillId="0" borderId="0" xfId="0" applyFont="1" applyFill="1" applyAlignment="1">
      <alignment horizontal="right" vertical="center"/>
    </xf>
    <xf numFmtId="0" fontId="118" fillId="0" borderId="1" xfId="0" applyFont="1" applyFill="1" applyBorder="1" applyAlignment="1">
      <alignment horizontal="center" vertical="center"/>
    </xf>
    <xf numFmtId="0" fontId="53" fillId="0" borderId="0" xfId="0" applyFont="1" applyFill="1" applyBorder="1" applyAlignment="1">
      <alignment horizontal="center" vertical="center"/>
    </xf>
    <xf numFmtId="0" fontId="7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118" fillId="0" borderId="0" xfId="0" applyFont="1" applyFill="1" applyAlignment="1">
      <alignment vertical="center"/>
    </xf>
    <xf numFmtId="0" fontId="86" fillId="0" borderId="0" xfId="0" applyFont="1" applyFill="1" applyAlignment="1">
      <alignment vertical="center"/>
    </xf>
    <xf numFmtId="0" fontId="126" fillId="0" borderId="0" xfId="0" applyFont="1"/>
    <xf numFmtId="0" fontId="127" fillId="0" borderId="0" xfId="0" applyFont="1"/>
    <xf numFmtId="0" fontId="127" fillId="0" borderId="0" xfId="0" applyFont="1" applyFill="1"/>
    <xf numFmtId="0" fontId="115" fillId="0" borderId="0" xfId="0" applyFont="1" applyFill="1" applyAlignment="1">
      <alignment vertical="top"/>
    </xf>
    <xf numFmtId="0" fontId="9" fillId="0" borderId="0" xfId="0" applyFont="1" applyAlignment="1">
      <alignment horizontal="right" vertical="center"/>
    </xf>
    <xf numFmtId="0" fontId="3" fillId="4" borderId="2" xfId="0" applyFont="1" applyFill="1" applyBorder="1" applyAlignment="1">
      <alignment horizontal="center" vertical="center"/>
    </xf>
    <xf numFmtId="164" fontId="45" fillId="0" borderId="0" xfId="0" applyNumberFormat="1" applyFont="1" applyAlignment="1">
      <alignment horizontal="center" vertical="center"/>
    </xf>
    <xf numFmtId="164" fontId="8" fillId="0" borderId="0" xfId="0" applyNumberFormat="1" applyFont="1" applyAlignment="1">
      <alignment horizontal="center" vertical="center"/>
    </xf>
    <xf numFmtId="3" fontId="15" fillId="0" borderId="0" xfId="0" applyNumberFormat="1" applyFont="1" applyAlignment="1">
      <alignment horizontal="center" vertical="center"/>
    </xf>
    <xf numFmtId="165" fontId="76" fillId="0" borderId="0" xfId="0" applyNumberFormat="1" applyFont="1" applyFill="1" applyBorder="1" applyAlignment="1">
      <alignment horizontal="center" vertical="center"/>
    </xf>
    <xf numFmtId="3" fontId="76" fillId="0" borderId="0" xfId="0" applyNumberFormat="1" applyFont="1" applyFill="1" applyAlignment="1">
      <alignment horizontal="center" vertical="center"/>
    </xf>
    <xf numFmtId="164" fontId="8" fillId="0" borderId="0" xfId="0" applyNumberFormat="1" applyFont="1" applyFill="1" applyAlignment="1">
      <alignment horizontal="center" vertical="center"/>
    </xf>
    <xf numFmtId="3" fontId="15" fillId="0" borderId="0" xfId="0" applyNumberFormat="1" applyFont="1" applyFill="1" applyAlignment="1">
      <alignment horizontal="center" vertical="center"/>
    </xf>
    <xf numFmtId="0" fontId="94" fillId="0" borderId="0" xfId="0" applyFont="1" applyFill="1" applyAlignment="1">
      <alignment horizontal="right" vertical="center"/>
    </xf>
    <xf numFmtId="0" fontId="82" fillId="0" borderId="1" xfId="0" applyFont="1" applyFill="1" applyBorder="1" applyAlignment="1">
      <alignment horizontal="center" vertical="center"/>
    </xf>
    <xf numFmtId="0" fontId="82" fillId="0" borderId="0" xfId="0" applyFont="1" applyFill="1" applyAlignment="1">
      <alignment horizontal="center" vertical="center"/>
    </xf>
    <xf numFmtId="164" fontId="105" fillId="0" borderId="2" xfId="0" applyNumberFormat="1" applyFont="1" applyFill="1" applyBorder="1" applyAlignment="1">
      <alignment horizontal="center" vertical="center" wrapText="1"/>
    </xf>
    <xf numFmtId="0" fontId="83" fillId="0" borderId="0" xfId="0" applyFont="1" applyFill="1" applyAlignment="1">
      <alignment horizontal="right" vertical="center"/>
    </xf>
    <xf numFmtId="0" fontId="119" fillId="0" borderId="1" xfId="0" applyFont="1" applyFill="1" applyBorder="1" applyAlignment="1">
      <alignment horizontal="center" vertical="center"/>
    </xf>
    <xf numFmtId="0" fontId="118" fillId="0" borderId="0" xfId="0" applyFont="1" applyFill="1" applyBorder="1" applyAlignment="1">
      <alignment horizontal="center" vertical="center"/>
    </xf>
    <xf numFmtId="3" fontId="22" fillId="0" borderId="0" xfId="0" applyNumberFormat="1" applyFont="1" applyFill="1" applyBorder="1" applyAlignment="1">
      <alignment horizontal="center" vertical="center"/>
    </xf>
    <xf numFmtId="3" fontId="76" fillId="4" borderId="1" xfId="0" applyNumberFormat="1" applyFont="1" applyFill="1" applyBorder="1" applyAlignment="1">
      <alignment horizontal="center" vertical="center"/>
    </xf>
    <xf numFmtId="0" fontId="7" fillId="0" borderId="0" xfId="0" applyFont="1" applyAlignment="1">
      <alignment horizontal="right" vertical="center"/>
    </xf>
    <xf numFmtId="164" fontId="4" fillId="2" borderId="0" xfId="0" applyNumberFormat="1" applyFont="1" applyFill="1" applyBorder="1" applyAlignment="1">
      <alignment horizontal="center" vertical="center"/>
    </xf>
    <xf numFmtId="164" fontId="26" fillId="0" borderId="2"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0" fontId="86" fillId="0" borderId="0" xfId="0" applyFont="1" applyAlignment="1">
      <alignment vertical="center"/>
    </xf>
    <xf numFmtId="0" fontId="89" fillId="0" borderId="0" xfId="0" applyFont="1"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0" fontId="53" fillId="0" borderId="1" xfId="0" applyFont="1" applyFill="1" applyBorder="1" applyAlignment="1">
      <alignment horizontal="center" vertical="center"/>
    </xf>
    <xf numFmtId="1" fontId="53"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vertical="center"/>
    </xf>
    <xf numFmtId="3" fontId="53" fillId="0" borderId="0" xfId="0" applyNumberFormat="1" applyFont="1" applyFill="1" applyBorder="1" applyAlignment="1">
      <alignment horizontal="center" vertical="center"/>
    </xf>
    <xf numFmtId="3" fontId="0" fillId="0" borderId="0" xfId="0" applyNumberFormat="1" applyFill="1" applyAlignment="1">
      <alignment vertical="center"/>
    </xf>
    <xf numFmtId="3" fontId="89" fillId="0" borderId="0" xfId="0" applyNumberFormat="1" applyFont="1" applyFill="1" applyAlignment="1">
      <alignment vertical="center"/>
    </xf>
    <xf numFmtId="0" fontId="121" fillId="0" borderId="0" xfId="0" applyFont="1" applyFill="1" applyAlignment="1">
      <alignment vertical="top" wrapText="1"/>
    </xf>
    <xf numFmtId="0" fontId="34" fillId="0" borderId="0" xfId="0" applyFont="1" applyFill="1" applyBorder="1" applyAlignment="1">
      <alignment horizontal="right" vertical="top" wrapText="1"/>
    </xf>
    <xf numFmtId="0" fontId="29" fillId="0" borderId="0" xfId="0" applyFont="1" applyBorder="1" applyAlignment="1">
      <alignment horizontal="center" vertical="top" wrapText="1"/>
    </xf>
    <xf numFmtId="3" fontId="34" fillId="0" borderId="0" xfId="0" applyNumberFormat="1" applyFont="1" applyFill="1" applyBorder="1" applyAlignment="1">
      <alignment horizontal="right" vertical="top" wrapText="1"/>
    </xf>
    <xf numFmtId="0" fontId="135" fillId="5" borderId="2" xfId="0" applyFont="1" applyFill="1" applyBorder="1" applyAlignment="1">
      <alignment horizontal="center" vertical="top" wrapText="1"/>
    </xf>
    <xf numFmtId="3" fontId="74" fillId="4" borderId="1" xfId="0" applyNumberFormat="1" applyFont="1" applyFill="1" applyBorder="1" applyAlignment="1">
      <alignment horizontal="center" vertical="center"/>
    </xf>
    <xf numFmtId="0" fontId="0" fillId="0" borderId="0" xfId="0" applyAlignment="1">
      <alignment horizontal="right" vertical="top" wrapText="1"/>
    </xf>
    <xf numFmtId="0" fontId="35" fillId="0" borderId="0" xfId="0" applyFont="1" applyBorder="1" applyAlignment="1">
      <alignment vertical="top" wrapText="1"/>
    </xf>
    <xf numFmtId="0" fontId="35" fillId="0" borderId="0" xfId="0" applyFont="1" applyBorder="1" applyAlignment="1">
      <alignment horizontal="right" vertical="top" wrapText="1"/>
    </xf>
    <xf numFmtId="0" fontId="47" fillId="0" borderId="0" xfId="0" applyFont="1" applyBorder="1" applyAlignment="1">
      <alignment vertical="top"/>
    </xf>
    <xf numFmtId="0" fontId="0" fillId="0" borderId="0" xfId="0" applyAlignment="1">
      <alignment vertical="top" wrapText="1"/>
    </xf>
    <xf numFmtId="0" fontId="34" fillId="0" borderId="2" xfId="0" applyFont="1" applyBorder="1" applyAlignment="1">
      <alignment horizontal="left" vertical="top" wrapText="1"/>
    </xf>
    <xf numFmtId="1" fontId="82" fillId="0" borderId="0" xfId="0" applyNumberFormat="1" applyFont="1" applyFill="1" applyAlignment="1">
      <alignment horizontal="center"/>
    </xf>
    <xf numFmtId="1" fontId="125" fillId="0" borderId="0" xfId="0" applyNumberFormat="1" applyFont="1" applyFill="1" applyAlignment="1">
      <alignment horizontal="center" vertical="center"/>
    </xf>
    <xf numFmtId="164" fontId="105" fillId="0" borderId="2" xfId="0" applyNumberFormat="1" applyFont="1" applyFill="1" applyBorder="1" applyAlignment="1">
      <alignment horizontal="center" vertical="center"/>
    </xf>
    <xf numFmtId="0" fontId="138" fillId="0" borderId="1" xfId="0" applyFont="1" applyBorder="1" applyAlignment="1">
      <alignment horizontal="left" vertical="top" wrapText="1"/>
    </xf>
    <xf numFmtId="0" fontId="33" fillId="0" borderId="2" xfId="0" applyFont="1" applyFill="1" applyBorder="1" applyAlignment="1">
      <alignment horizontal="right" vertical="top" wrapText="1"/>
    </xf>
    <xf numFmtId="0" fontId="9" fillId="0" borderId="0" xfId="0" applyFont="1" applyFill="1" applyAlignment="1">
      <alignment horizontal="center" vertical="top" wrapText="1"/>
    </xf>
    <xf numFmtId="0" fontId="9" fillId="0" borderId="0" xfId="0" applyFont="1" applyFill="1" applyAlignment="1">
      <alignment horizontal="center" wrapText="1"/>
    </xf>
    <xf numFmtId="0" fontId="10" fillId="0" borderId="0" xfId="0" applyFont="1" applyFill="1" applyAlignment="1">
      <alignment horizontal="center"/>
    </xf>
    <xf numFmtId="0" fontId="82" fillId="4" borderId="1" xfId="0" applyFont="1" applyFill="1" applyBorder="1" applyAlignment="1">
      <alignment horizontal="center" vertical="top" wrapText="1"/>
    </xf>
    <xf numFmtId="0" fontId="122" fillId="4" borderId="2" xfId="0" applyFont="1" applyFill="1" applyBorder="1" applyAlignment="1">
      <alignment horizontal="center" vertical="top" wrapText="1"/>
    </xf>
    <xf numFmtId="0" fontId="108" fillId="4" borderId="2" xfId="1" applyFont="1" applyFill="1" applyBorder="1" applyAlignment="1">
      <alignment horizontal="center" vertical="center"/>
    </xf>
    <xf numFmtId="0" fontId="98" fillId="0" borderId="0" xfId="0" applyFont="1" applyAlignment="1">
      <alignment vertical="top" wrapText="1"/>
    </xf>
    <xf numFmtId="0" fontId="98" fillId="0" borderId="0" xfId="0" applyFont="1" applyBorder="1" applyAlignment="1">
      <alignment vertical="top" wrapText="1"/>
    </xf>
    <xf numFmtId="0" fontId="0" fillId="0" borderId="0" xfId="0" applyBorder="1" applyAlignment="1">
      <alignment horizontal="right" vertical="top" wrapText="1"/>
    </xf>
    <xf numFmtId="0" fontId="98" fillId="0" borderId="0" xfId="0" applyFont="1" applyAlignment="1">
      <alignment horizontal="right" vertical="top" wrapText="1"/>
    </xf>
    <xf numFmtId="1" fontId="95" fillId="0" borderId="0" xfId="0" applyNumberFormat="1" applyFont="1" applyFill="1" applyBorder="1" applyAlignment="1">
      <alignment horizontal="center" vertical="top" wrapText="1"/>
    </xf>
    <xf numFmtId="0" fontId="77" fillId="0" borderId="0" xfId="0" applyFont="1" applyBorder="1" applyAlignment="1">
      <alignment vertical="top" wrapText="1"/>
    </xf>
    <xf numFmtId="0" fontId="108" fillId="4" borderId="2" xfId="0" applyFont="1" applyFill="1" applyBorder="1" applyAlignment="1">
      <alignment horizontal="center" vertical="center"/>
    </xf>
    <xf numFmtId="0" fontId="77" fillId="0" borderId="0" xfId="0" applyFont="1" applyBorder="1" applyAlignment="1">
      <alignment horizontal="left" vertical="top" wrapText="1"/>
    </xf>
    <xf numFmtId="0" fontId="0" fillId="0" borderId="1" xfId="0" applyFill="1" applyBorder="1"/>
    <xf numFmtId="0" fontId="31" fillId="0" borderId="3" xfId="0" applyFont="1" applyBorder="1" applyAlignment="1">
      <alignment vertical="top" wrapText="1"/>
    </xf>
    <xf numFmtId="0" fontId="38" fillId="0" borderId="1" xfId="0" applyFont="1" applyBorder="1" applyAlignment="1">
      <alignment vertical="top" wrapText="1"/>
    </xf>
    <xf numFmtId="164" fontId="105" fillId="0" borderId="0" xfId="0" applyNumberFormat="1" applyFont="1" applyFill="1" applyBorder="1" applyAlignment="1">
      <alignment horizontal="center" vertical="top" wrapText="1"/>
    </xf>
    <xf numFmtId="164" fontId="105" fillId="0" borderId="2" xfId="0" applyNumberFormat="1" applyFont="1" applyFill="1" applyBorder="1" applyAlignment="1">
      <alignment horizontal="center" vertical="top" wrapText="1"/>
    </xf>
    <xf numFmtId="0" fontId="10" fillId="0" borderId="0" xfId="0" applyFont="1" applyAlignment="1">
      <alignment horizontal="center"/>
    </xf>
    <xf numFmtId="0" fontId="76" fillId="4" borderId="1" xfId="0" applyFont="1" applyFill="1" applyBorder="1" applyAlignment="1">
      <alignment horizontal="center" vertical="center"/>
    </xf>
    <xf numFmtId="0" fontId="0" fillId="0" borderId="0" xfId="0" applyFill="1" applyAlignment="1">
      <alignment vertical="top" wrapText="1"/>
    </xf>
    <xf numFmtId="0" fontId="98" fillId="0" borderId="0" xfId="0" applyFont="1" applyFill="1" applyAlignment="1">
      <alignment vertical="top" wrapText="1"/>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17" fillId="0" borderId="0" xfId="0" applyFont="1" applyFill="1" applyBorder="1" applyAlignment="1">
      <alignment horizontal="center" vertical="top" wrapText="1"/>
    </xf>
    <xf numFmtId="0" fontId="0" fillId="0" borderId="3" xfId="0" applyFill="1" applyBorder="1"/>
    <xf numFmtId="0" fontId="110" fillId="0" borderId="2" xfId="0" applyFont="1" applyFill="1" applyBorder="1" applyAlignment="1">
      <alignment horizontal="left" vertical="top" wrapText="1"/>
    </xf>
    <xf numFmtId="0" fontId="7" fillId="0" borderId="0" xfId="0" applyFont="1" applyFill="1" applyBorder="1" applyAlignment="1">
      <alignment horizontal="center"/>
    </xf>
    <xf numFmtId="0" fontId="7" fillId="0" borderId="2" xfId="0" applyFont="1" applyFill="1" applyBorder="1" applyAlignment="1">
      <alignment horizontal="center"/>
    </xf>
    <xf numFmtId="0" fontId="109" fillId="0" borderId="0" xfId="0" applyFont="1" applyFill="1" applyBorder="1" applyAlignment="1">
      <alignment horizontal="right" vertical="top" wrapText="1"/>
    </xf>
    <xf numFmtId="0" fontId="7" fillId="0" borderId="3" xfId="0" applyFont="1" applyFill="1" applyBorder="1" applyAlignment="1">
      <alignment horizontal="center"/>
    </xf>
    <xf numFmtId="0" fontId="31" fillId="0" borderId="2" xfId="0" applyFont="1" applyFill="1" applyBorder="1" applyAlignment="1">
      <alignment vertical="top" wrapText="1"/>
    </xf>
    <xf numFmtId="0" fontId="110" fillId="0" borderId="3" xfId="0" applyFont="1" applyFill="1" applyBorder="1" applyAlignment="1">
      <alignment horizontal="left" vertical="top" wrapText="1"/>
    </xf>
    <xf numFmtId="164" fontId="29" fillId="0" borderId="1" xfId="0" applyNumberFormat="1" applyFont="1" applyFill="1" applyBorder="1" applyAlignment="1">
      <alignment horizontal="left" vertical="top" wrapText="1"/>
    </xf>
    <xf numFmtId="0" fontId="7" fillId="0" borderId="0" xfId="0" applyFont="1" applyFill="1" applyAlignment="1">
      <alignment horizontal="center"/>
    </xf>
    <xf numFmtId="0" fontId="21" fillId="0" borderId="0" xfId="0" applyFont="1" applyAlignment="1">
      <alignment horizontal="center" vertical="top" wrapText="1"/>
    </xf>
    <xf numFmtId="0" fontId="27" fillId="0" borderId="0" xfId="0" applyFont="1" applyAlignment="1">
      <alignment horizontal="center" vertical="top" wrapText="1"/>
    </xf>
    <xf numFmtId="0" fontId="143" fillId="0" borderId="0" xfId="0" applyFont="1"/>
    <xf numFmtId="0" fontId="39" fillId="0" borderId="0" xfId="0" applyFont="1" applyFill="1" applyAlignment="1">
      <alignment horizontal="center"/>
    </xf>
    <xf numFmtId="0" fontId="22" fillId="0" borderId="0" xfId="0" applyFont="1" applyFill="1" applyAlignment="1">
      <alignment horizontal="center"/>
    </xf>
    <xf numFmtId="1" fontId="22" fillId="0" borderId="0" xfId="0" applyNumberFormat="1" applyFont="1" applyFill="1" applyAlignment="1">
      <alignment horizontal="center"/>
    </xf>
    <xf numFmtId="3" fontId="22" fillId="0" borderId="0" xfId="0" applyNumberFormat="1" applyFont="1" applyFill="1" applyAlignment="1">
      <alignment horizontal="center"/>
    </xf>
    <xf numFmtId="0" fontId="22" fillId="0" borderId="0" xfId="0" applyFont="1" applyFill="1" applyBorder="1" applyAlignment="1">
      <alignment horizontal="center" vertical="top" wrapText="1"/>
    </xf>
    <xf numFmtId="164" fontId="105" fillId="2" borderId="1" xfId="0" applyNumberFormat="1" applyFont="1" applyFill="1" applyBorder="1" applyAlignment="1">
      <alignment horizontal="center" vertical="center"/>
    </xf>
    <xf numFmtId="0" fontId="122" fillId="4" borderId="2" xfId="0" applyFont="1" applyFill="1" applyBorder="1" applyAlignment="1">
      <alignment horizontal="center" vertical="center"/>
    </xf>
    <xf numFmtId="164" fontId="80" fillId="2" borderId="1" xfId="0" applyNumberFormat="1" applyFont="1" applyFill="1" applyBorder="1" applyAlignment="1">
      <alignment horizontal="center" vertical="center"/>
    </xf>
    <xf numFmtId="0" fontId="98" fillId="0" borderId="0" xfId="0" applyFont="1" applyFill="1" applyBorder="1" applyAlignment="1">
      <alignment vertical="top" wrapText="1"/>
    </xf>
    <xf numFmtId="0" fontId="98" fillId="0" borderId="0" xfId="0" applyFont="1" applyFill="1" applyAlignment="1">
      <alignment horizontal="right" vertical="top" wrapText="1"/>
    </xf>
    <xf numFmtId="0" fontId="0" fillId="0" borderId="0" xfId="0" applyFill="1" applyBorder="1" applyAlignment="1">
      <alignment horizontal="right" vertical="top" wrapText="1"/>
    </xf>
    <xf numFmtId="0" fontId="0" fillId="0" borderId="0" xfId="0" applyFill="1" applyAlignment="1">
      <alignment horizontal="right" vertical="top" wrapText="1"/>
    </xf>
    <xf numFmtId="3" fontId="122" fillId="4" borderId="2" xfId="0" applyNumberFormat="1" applyFont="1" applyFill="1" applyBorder="1" applyAlignment="1">
      <alignment horizontal="center" vertical="top" wrapText="1"/>
    </xf>
    <xf numFmtId="164" fontId="120" fillId="2" borderId="2" xfId="0" applyNumberFormat="1" applyFont="1" applyFill="1" applyBorder="1" applyAlignment="1">
      <alignment horizontal="center" vertical="center"/>
    </xf>
    <xf numFmtId="164" fontId="75" fillId="2" borderId="0" xfId="0" applyNumberFormat="1" applyFont="1" applyFill="1" applyBorder="1" applyAlignment="1">
      <alignment horizontal="center"/>
    </xf>
    <xf numFmtId="164" fontId="90" fillId="2" borderId="0" xfId="0" applyNumberFormat="1" applyFont="1" applyFill="1" applyBorder="1" applyAlignment="1">
      <alignment horizontal="center"/>
    </xf>
    <xf numFmtId="0" fontId="0" fillId="0" borderId="0" xfId="0" applyAlignment="1">
      <alignment vertical="center" wrapText="1"/>
    </xf>
    <xf numFmtId="0" fontId="9" fillId="0" borderId="0" xfId="0" applyFont="1" applyFill="1" applyAlignment="1">
      <alignment horizontal="right" vertical="center" wrapText="1"/>
    </xf>
    <xf numFmtId="3" fontId="74" fillId="4" borderId="1" xfId="0" applyNumberFormat="1" applyFont="1" applyFill="1" applyBorder="1" applyAlignment="1">
      <alignment horizontal="center" vertical="center" wrapText="1"/>
    </xf>
    <xf numFmtId="0" fontId="76" fillId="0" borderId="1" xfId="0" applyFont="1" applyFill="1" applyBorder="1" applyAlignment="1">
      <alignment horizontal="center" vertical="center" wrapText="1"/>
    </xf>
    <xf numFmtId="164" fontId="75" fillId="0" borderId="2" xfId="0" applyNumberFormat="1" applyFont="1" applyFill="1" applyBorder="1" applyAlignment="1">
      <alignment horizontal="center" vertical="center" wrapText="1"/>
    </xf>
    <xf numFmtId="164" fontId="75" fillId="0" borderId="0" xfId="0" applyNumberFormat="1" applyFont="1" applyFill="1" applyBorder="1" applyAlignment="1">
      <alignment horizontal="center" vertical="center" wrapText="1"/>
    </xf>
    <xf numFmtId="164" fontId="26" fillId="0" borderId="0" xfId="0" applyNumberFormat="1" applyFont="1" applyAlignment="1">
      <alignment horizontal="center" vertical="center" wrapText="1"/>
    </xf>
    <xf numFmtId="164" fontId="26" fillId="0" borderId="0" xfId="0" applyNumberFormat="1" applyFont="1" applyFill="1" applyAlignment="1">
      <alignment horizontal="center" vertical="center" wrapText="1"/>
    </xf>
    <xf numFmtId="0" fontId="8" fillId="0" borderId="0" xfId="0" applyFont="1" applyAlignment="1">
      <alignment horizontal="right" vertical="center" wrapText="1"/>
    </xf>
    <xf numFmtId="3" fontId="15" fillId="0" borderId="0" xfId="0" applyNumberFormat="1" applyFont="1" applyAlignment="1">
      <alignment horizontal="center" vertical="center" wrapText="1"/>
    </xf>
    <xf numFmtId="0" fontId="0" fillId="0" borderId="0" xfId="0" applyFill="1" applyAlignment="1">
      <alignment vertical="center" wrapText="1"/>
    </xf>
    <xf numFmtId="0" fontId="8" fillId="0" borderId="0" xfId="0" applyFont="1" applyFill="1" applyAlignment="1">
      <alignment horizontal="right" vertical="center" wrapText="1"/>
    </xf>
    <xf numFmtId="3" fontId="15" fillId="0" borderId="0" xfId="0" applyNumberFormat="1" applyFont="1" applyFill="1" applyAlignment="1">
      <alignment horizontal="center" vertical="center" wrapText="1"/>
    </xf>
    <xf numFmtId="0" fontId="7" fillId="0" borderId="0" xfId="0" applyFont="1" applyFill="1" applyAlignment="1">
      <alignment horizontal="right" vertical="center" wrapText="1"/>
    </xf>
    <xf numFmtId="0" fontId="125" fillId="0" borderId="0" xfId="0" applyFont="1" applyFill="1" applyAlignment="1">
      <alignment vertical="center" wrapText="1"/>
    </xf>
    <xf numFmtId="0" fontId="113" fillId="0" borderId="0" xfId="0" applyFont="1" applyFill="1" applyAlignment="1">
      <alignment vertical="center"/>
    </xf>
    <xf numFmtId="164" fontId="139" fillId="2" borderId="1" xfId="0" applyNumberFormat="1" applyFont="1" applyFill="1" applyBorder="1" applyAlignment="1">
      <alignment horizontal="center" vertical="center"/>
    </xf>
    <xf numFmtId="164" fontId="140" fillId="2" borderId="2" xfId="0" applyNumberFormat="1" applyFont="1" applyFill="1" applyBorder="1" applyAlignment="1">
      <alignment horizontal="center" vertical="center"/>
    </xf>
    <xf numFmtId="0" fontId="2" fillId="0" borderId="0" xfId="0" applyFont="1" applyFill="1" applyBorder="1" applyAlignment="1">
      <alignment vertical="top" wrapText="1"/>
    </xf>
    <xf numFmtId="0" fontId="77" fillId="0" borderId="0" xfId="0" applyFont="1" applyFill="1" applyAlignment="1">
      <alignment horizontal="right" vertical="top" wrapText="1"/>
    </xf>
    <xf numFmtId="0" fontId="47" fillId="0" borderId="0" xfId="0" applyFont="1" applyFill="1" applyBorder="1"/>
    <xf numFmtId="0" fontId="47" fillId="0" borderId="0" xfId="0" applyFont="1" applyFill="1" applyBorder="1" applyAlignment="1">
      <alignment wrapText="1"/>
    </xf>
    <xf numFmtId="0" fontId="61" fillId="0" borderId="0" xfId="0" applyFont="1" applyFill="1" applyBorder="1" applyAlignment="1">
      <alignment vertical="top" wrapText="1"/>
    </xf>
    <xf numFmtId="0" fontId="123" fillId="0" borderId="0" xfId="0" applyFont="1" applyFill="1" applyBorder="1" applyAlignment="1">
      <alignment horizontal="right" vertical="top" wrapText="1"/>
    </xf>
    <xf numFmtId="0" fontId="107" fillId="0" borderId="0" xfId="0" applyFont="1" applyFill="1" applyBorder="1" applyAlignment="1">
      <alignment horizontal="center" vertical="top" wrapText="1"/>
    </xf>
    <xf numFmtId="0" fontId="99" fillId="0" borderId="0" xfId="0" applyFont="1" applyFill="1" applyBorder="1" applyAlignment="1">
      <alignment horizontal="center" vertical="top" wrapText="1"/>
    </xf>
    <xf numFmtId="0" fontId="135" fillId="0" borderId="0" xfId="0" applyFont="1" applyFill="1" applyBorder="1" applyAlignment="1">
      <alignment horizontal="center" vertical="top" wrapText="1"/>
    </xf>
    <xf numFmtId="0" fontId="23" fillId="0" borderId="0" xfId="0" applyFont="1" applyFill="1" applyBorder="1" applyAlignment="1">
      <alignment horizontal="center" vertical="top" wrapText="1"/>
    </xf>
    <xf numFmtId="0" fontId="28" fillId="0" borderId="0" xfId="0" applyFont="1" applyFill="1" applyBorder="1" applyAlignment="1">
      <alignment horizontal="center" vertical="top" wrapText="1"/>
    </xf>
    <xf numFmtId="0" fontId="116" fillId="0" borderId="0" xfId="0" applyFont="1" applyFill="1" applyBorder="1" applyAlignment="1">
      <alignment horizontal="center" vertical="top" wrapText="1"/>
    </xf>
    <xf numFmtId="0" fontId="114" fillId="0" borderId="0" xfId="0" applyFont="1" applyFill="1" applyBorder="1" applyAlignment="1">
      <alignment horizontal="center" vertical="top" wrapText="1"/>
    </xf>
    <xf numFmtId="0" fontId="117" fillId="0" borderId="0" xfId="0" applyFont="1" applyFill="1" applyBorder="1" applyAlignment="1">
      <alignment horizontal="center" vertical="top" wrapText="1"/>
    </xf>
    <xf numFmtId="0" fontId="145" fillId="0" borderId="0" xfId="0" applyFont="1" applyFill="1" applyAlignment="1">
      <alignment horizontal="center"/>
    </xf>
    <xf numFmtId="0" fontId="146" fillId="0" borderId="0" xfId="0" applyFont="1" applyFill="1" applyBorder="1" applyAlignment="1">
      <alignment horizontal="right" vertical="top" wrapText="1"/>
    </xf>
    <xf numFmtId="0" fontId="149" fillId="0" borderId="0" xfId="0" applyFont="1"/>
    <xf numFmtId="0" fontId="151" fillId="0" borderId="1" xfId="0" applyFont="1" applyFill="1" applyBorder="1" applyAlignment="1">
      <alignment horizontal="center" vertical="top" wrapText="1"/>
    </xf>
    <xf numFmtId="0" fontId="151" fillId="0" borderId="0" xfId="0" applyFont="1" applyFill="1" applyBorder="1" applyAlignment="1">
      <alignment vertical="top" wrapText="1"/>
    </xf>
    <xf numFmtId="164" fontId="152" fillId="0" borderId="1" xfId="0" applyNumberFormat="1" applyFont="1" applyBorder="1" applyAlignment="1">
      <alignment horizontal="right" vertical="top" wrapText="1"/>
    </xf>
    <xf numFmtId="164" fontId="154" fillId="0" borderId="0" xfId="0" applyNumberFormat="1" applyFont="1" applyBorder="1" applyAlignment="1">
      <alignment horizontal="left" vertical="top" wrapText="1"/>
    </xf>
    <xf numFmtId="164" fontId="153" fillId="0" borderId="2" xfId="0" applyNumberFormat="1" applyFont="1" applyFill="1" applyBorder="1" applyAlignment="1">
      <alignment horizontal="center"/>
    </xf>
    <xf numFmtId="0" fontId="151" fillId="0" borderId="0" xfId="0" applyFont="1" applyBorder="1" applyAlignment="1">
      <alignment vertical="top" wrapText="1"/>
    </xf>
    <xf numFmtId="164" fontId="154" fillId="0" borderId="1" xfId="0" applyNumberFormat="1" applyFont="1" applyBorder="1" applyAlignment="1">
      <alignment horizontal="left" vertical="top" wrapText="1"/>
    </xf>
    <xf numFmtId="0" fontId="101" fillId="0" borderId="0" xfId="0" applyFont="1" applyFill="1" applyBorder="1" applyAlignment="1">
      <alignment horizontal="right" vertical="top" wrapText="1"/>
    </xf>
    <xf numFmtId="164" fontId="155" fillId="0" borderId="0" xfId="0" applyNumberFormat="1" applyFont="1" applyBorder="1" applyAlignment="1">
      <alignment horizontal="center"/>
    </xf>
    <xf numFmtId="0" fontId="156" fillId="0" borderId="0" xfId="0" applyFont="1" applyFill="1" applyBorder="1" applyAlignment="1">
      <alignment vertical="top" wrapText="1"/>
    </xf>
    <xf numFmtId="0" fontId="158" fillId="0" borderId="0" xfId="0" applyFont="1"/>
    <xf numFmtId="0" fontId="135" fillId="5" borderId="0" xfId="0" applyFont="1" applyFill="1" applyBorder="1" applyAlignment="1">
      <alignment horizontal="center" vertical="top" wrapText="1"/>
    </xf>
    <xf numFmtId="3" fontId="42" fillId="4" borderId="1" xfId="0" applyNumberFormat="1" applyFont="1" applyFill="1" applyBorder="1" applyAlignment="1">
      <alignment horizontal="center" vertical="center"/>
    </xf>
    <xf numFmtId="0" fontId="107" fillId="5" borderId="1" xfId="0" applyFont="1" applyFill="1" applyBorder="1" applyAlignment="1">
      <alignment horizontal="center" vertical="top" wrapText="1"/>
    </xf>
    <xf numFmtId="1" fontId="42" fillId="4" borderId="1" xfId="0" applyNumberFormat="1" applyFont="1" applyFill="1" applyBorder="1" applyAlignment="1">
      <alignment horizontal="center" vertical="center"/>
    </xf>
    <xf numFmtId="1" fontId="3" fillId="4" borderId="2" xfId="0" applyNumberFormat="1" applyFont="1" applyFill="1" applyBorder="1" applyAlignment="1">
      <alignment horizontal="center" vertical="center"/>
    </xf>
    <xf numFmtId="0" fontId="46" fillId="0" borderId="0" xfId="0" applyFont="1" applyFill="1" applyBorder="1" applyAlignment="1">
      <alignment vertical="top" wrapText="1"/>
    </xf>
    <xf numFmtId="0" fontId="159" fillId="0" borderId="0" xfId="0" applyFont="1" applyAlignment="1">
      <alignment vertical="center" wrapText="1"/>
    </xf>
    <xf numFmtId="0" fontId="156" fillId="0" borderId="2" xfId="0" applyFont="1" applyFill="1" applyBorder="1" applyAlignment="1">
      <alignment vertical="top" wrapText="1"/>
    </xf>
    <xf numFmtId="0" fontId="89" fillId="7" borderId="0" xfId="0" applyFont="1" applyFill="1"/>
    <xf numFmtId="0" fontId="89" fillId="7" borderId="0" xfId="0" applyFont="1" applyFill="1" applyBorder="1"/>
    <xf numFmtId="0" fontId="86" fillId="7" borderId="0" xfId="0" applyFont="1" applyFill="1" applyBorder="1" applyAlignment="1">
      <alignment horizontal="center"/>
    </xf>
    <xf numFmtId="0" fontId="89" fillId="7" borderId="0" xfId="0" applyFont="1" applyFill="1" applyAlignment="1">
      <alignment vertical="center"/>
    </xf>
    <xf numFmtId="0" fontId="133" fillId="7" borderId="0" xfId="0" applyFont="1" applyFill="1" applyAlignment="1">
      <alignment vertical="center"/>
    </xf>
    <xf numFmtId="0" fontId="85" fillId="7" borderId="0" xfId="0" applyFont="1" applyFill="1" applyBorder="1" applyAlignment="1">
      <alignment vertical="center"/>
    </xf>
    <xf numFmtId="0" fontId="89" fillId="7" borderId="0" xfId="0" applyFont="1" applyFill="1" applyBorder="1" applyAlignment="1">
      <alignment horizontal="left" vertical="center"/>
    </xf>
    <xf numFmtId="0" fontId="84" fillId="7" borderId="0" xfId="0" applyFont="1" applyFill="1" applyBorder="1" applyAlignment="1">
      <alignment horizontal="left" vertical="top" wrapText="1"/>
    </xf>
    <xf numFmtId="0" fontId="89" fillId="7" borderId="0" xfId="0" applyFont="1" applyFill="1" applyBorder="1" applyAlignment="1">
      <alignment vertical="center"/>
    </xf>
    <xf numFmtId="0" fontId="86" fillId="7" borderId="0" xfId="0" applyFont="1" applyFill="1" applyBorder="1" applyAlignment="1">
      <alignment horizontal="right" vertical="center"/>
    </xf>
    <xf numFmtId="0" fontId="86" fillId="7" borderId="0" xfId="0" applyFont="1" applyFill="1" applyBorder="1" applyAlignment="1">
      <alignment horizontal="right"/>
    </xf>
    <xf numFmtId="0" fontId="89" fillId="7" borderId="0" xfId="0" applyFont="1" applyFill="1" applyBorder="1" applyAlignment="1">
      <alignment horizontal="left"/>
    </xf>
    <xf numFmtId="0" fontId="86" fillId="7" borderId="0" xfId="0" applyFont="1" applyFill="1" applyAlignment="1">
      <alignment horizontal="center"/>
    </xf>
    <xf numFmtId="3" fontId="89" fillId="7" borderId="0" xfId="0" applyNumberFormat="1" applyFont="1" applyFill="1" applyAlignment="1">
      <alignment vertical="center"/>
    </xf>
    <xf numFmtId="0" fontId="87" fillId="7" borderId="0" xfId="0" applyFont="1" applyFill="1" applyBorder="1"/>
    <xf numFmtId="0" fontId="157" fillId="7" borderId="0" xfId="0" applyFont="1" applyFill="1" applyBorder="1"/>
    <xf numFmtId="0" fontId="9" fillId="0" borderId="0" xfId="0" applyFont="1" applyAlignment="1">
      <alignment horizontal="center" vertical="top" wrapText="1"/>
    </xf>
    <xf numFmtId="0" fontId="160" fillId="0" borderId="0" xfId="0" applyFont="1" applyFill="1" applyAlignment="1">
      <alignment horizontal="center" vertical="top" wrapText="1"/>
    </xf>
    <xf numFmtId="0" fontId="161" fillId="0" borderId="0" xfId="0" applyFont="1" applyFill="1" applyAlignment="1">
      <alignment horizontal="center" vertical="top" wrapText="1"/>
    </xf>
    <xf numFmtId="0" fontId="164" fillId="0" borderId="0" xfId="0" applyFont="1" applyAlignment="1">
      <alignment horizontal="center"/>
    </xf>
    <xf numFmtId="0" fontId="0" fillId="7" borderId="0" xfId="0" applyFill="1"/>
    <xf numFmtId="0" fontId="0" fillId="0" borderId="3" xfId="0" applyBorder="1" applyAlignment="1">
      <alignment horizontal="center" vertical="center"/>
    </xf>
    <xf numFmtId="0" fontId="7" fillId="0" borderId="3" xfId="0" applyFont="1" applyBorder="1" applyAlignment="1">
      <alignment horizontal="center"/>
    </xf>
    <xf numFmtId="0" fontId="3" fillId="7" borderId="0" xfId="0" applyFont="1" applyFill="1" applyBorder="1" applyAlignment="1">
      <alignment horizontal="center"/>
    </xf>
    <xf numFmtId="0" fontId="29" fillId="4" borderId="0" xfId="0" applyFont="1" applyFill="1" applyBorder="1" applyAlignment="1">
      <alignment horizontal="center" vertical="top" wrapText="1"/>
    </xf>
    <xf numFmtId="0" fontId="17" fillId="0" borderId="0" xfId="0" applyFont="1" applyBorder="1" applyAlignment="1">
      <alignment horizontal="center" vertical="top" wrapText="1"/>
    </xf>
    <xf numFmtId="0" fontId="164" fillId="0" borderId="0" xfId="0" applyFont="1" applyAlignment="1">
      <alignment horizontal="right"/>
    </xf>
    <xf numFmtId="164" fontId="167" fillId="0" borderId="0" xfId="0" applyNumberFormat="1" applyFont="1" applyAlignment="1">
      <alignment horizontal="center"/>
    </xf>
    <xf numFmtId="0" fontId="168" fillId="0" borderId="1" xfId="0" applyFont="1" applyBorder="1" applyAlignment="1">
      <alignment horizontal="center"/>
    </xf>
    <xf numFmtId="0" fontId="168" fillId="0" borderId="0" xfId="0" applyFont="1" applyAlignment="1">
      <alignment horizontal="center"/>
    </xf>
    <xf numFmtId="0" fontId="168" fillId="0" borderId="2" xfId="0" applyFont="1" applyBorder="1" applyAlignment="1">
      <alignment horizontal="center"/>
    </xf>
    <xf numFmtId="3" fontId="164" fillId="4" borderId="0" xfId="0" applyNumberFormat="1" applyFont="1" applyFill="1" applyAlignment="1">
      <alignment horizontal="center"/>
    </xf>
    <xf numFmtId="3" fontId="164" fillId="4" borderId="2" xfId="0" applyNumberFormat="1" applyFont="1" applyFill="1" applyBorder="1" applyAlignment="1">
      <alignment horizontal="center"/>
    </xf>
    <xf numFmtId="164" fontId="169" fillId="2" borderId="0" xfId="0" applyNumberFormat="1" applyFont="1" applyFill="1" applyAlignment="1">
      <alignment horizontal="center"/>
    </xf>
    <xf numFmtId="164" fontId="169" fillId="2" borderId="2" xfId="0" applyNumberFormat="1" applyFont="1" applyFill="1" applyBorder="1" applyAlignment="1">
      <alignment horizontal="center"/>
    </xf>
    <xf numFmtId="164" fontId="167" fillId="0" borderId="2" xfId="0" applyNumberFormat="1" applyFont="1" applyBorder="1" applyAlignment="1">
      <alignment horizontal="center"/>
    </xf>
    <xf numFmtId="0" fontId="168" fillId="7" borderId="0" xfId="0" applyFont="1" applyFill="1" applyAlignment="1">
      <alignment horizontal="center"/>
    </xf>
    <xf numFmtId="0" fontId="164" fillId="0" borderId="0" xfId="0" applyFont="1"/>
    <xf numFmtId="0" fontId="34" fillId="0" borderId="0" xfId="0" applyFont="1" applyAlignment="1">
      <alignment horizontal="left" vertical="top" wrapText="1"/>
    </xf>
    <xf numFmtId="0" fontId="33" fillId="0" borderId="2" xfId="0" applyFont="1" applyFill="1" applyBorder="1" applyAlignment="1">
      <alignment vertical="top" wrapText="1"/>
    </xf>
    <xf numFmtId="0" fontId="0" fillId="0" borderId="3" xfId="0" applyBorder="1"/>
    <xf numFmtId="0" fontId="168" fillId="0" borderId="0" xfId="0" applyFont="1" applyBorder="1" applyAlignment="1">
      <alignment horizontal="center"/>
    </xf>
    <xf numFmtId="164" fontId="169" fillId="3" borderId="0" xfId="0" applyNumberFormat="1" applyFont="1" applyFill="1" applyAlignment="1">
      <alignment horizontal="center"/>
    </xf>
    <xf numFmtId="0" fontId="29" fillId="4" borderId="1" xfId="0" applyFont="1" applyFill="1" applyBorder="1" applyAlignment="1">
      <alignment horizontal="center" vertical="top" wrapText="1"/>
    </xf>
    <xf numFmtId="3" fontId="171" fillId="4" borderId="2" xfId="0" applyNumberFormat="1" applyFont="1" applyFill="1" applyBorder="1" applyAlignment="1">
      <alignment horizontal="center"/>
    </xf>
    <xf numFmtId="164" fontId="169" fillId="3" borderId="2" xfId="0" applyNumberFormat="1" applyFont="1" applyFill="1" applyBorder="1" applyAlignment="1">
      <alignment horizontal="center"/>
    </xf>
    <xf numFmtId="0" fontId="168" fillId="0" borderId="3" xfId="0" applyFont="1" applyBorder="1" applyAlignment="1">
      <alignment horizontal="center"/>
    </xf>
    <xf numFmtId="0" fontId="173" fillId="0" borderId="0" xfId="0" applyFont="1" applyAlignment="1">
      <alignment horizontal="center"/>
    </xf>
    <xf numFmtId="0" fontId="173" fillId="0" borderId="1" xfId="0" applyFont="1" applyBorder="1" applyAlignment="1">
      <alignment horizontal="center"/>
    </xf>
    <xf numFmtId="0" fontId="173" fillId="0" borderId="2" xfId="0" applyFont="1" applyBorder="1" applyAlignment="1">
      <alignment horizontal="center"/>
    </xf>
    <xf numFmtId="0" fontId="174" fillId="8" borderId="0" xfId="0" applyFont="1" applyFill="1" applyAlignment="1">
      <alignment horizontal="center"/>
    </xf>
    <xf numFmtId="0" fontId="176" fillId="0" borderId="0" xfId="0" applyFont="1" applyAlignment="1">
      <alignment horizontal="center" vertical="top" wrapText="1"/>
    </xf>
    <xf numFmtId="0" fontId="172" fillId="8" borderId="0" xfId="0" applyFont="1" applyFill="1"/>
    <xf numFmtId="3" fontId="164" fillId="0" borderId="2" xfId="0" applyNumberFormat="1" applyFont="1" applyBorder="1" applyAlignment="1">
      <alignment horizontal="center"/>
    </xf>
    <xf numFmtId="0" fontId="164" fillId="0" borderId="0" xfId="0" applyFont="1" applyFill="1" applyAlignment="1">
      <alignment horizontal="center"/>
    </xf>
    <xf numFmtId="0" fontId="168" fillId="0" borderId="1" xfId="0" applyFont="1" applyFill="1" applyBorder="1" applyAlignment="1">
      <alignment horizontal="center"/>
    </xf>
    <xf numFmtId="0" fontId="34" fillId="0" borderId="0" xfId="0" applyFont="1" applyAlignment="1">
      <alignment vertical="top" wrapText="1"/>
    </xf>
    <xf numFmtId="0" fontId="173" fillId="0" borderId="0" xfId="0" applyFont="1" applyBorder="1" applyAlignment="1">
      <alignment horizontal="center"/>
    </xf>
    <xf numFmtId="0" fontId="16" fillId="10" borderId="0" xfId="0" applyFont="1" applyFill="1" applyAlignment="1">
      <alignment horizontal="left" vertical="center" wrapText="1"/>
    </xf>
    <xf numFmtId="0" fontId="165" fillId="10" borderId="0" xfId="0" applyFont="1" applyFill="1" applyAlignment="1">
      <alignment horizontal="left" vertical="center" wrapText="1"/>
    </xf>
    <xf numFmtId="0" fontId="17" fillId="0" borderId="0" xfId="0" applyFont="1" applyFill="1" applyAlignment="1">
      <alignment horizontal="right"/>
    </xf>
    <xf numFmtId="0" fontId="117" fillId="0" borderId="0" xfId="0" applyFont="1" applyFill="1" applyAlignment="1">
      <alignment horizontal="right"/>
    </xf>
    <xf numFmtId="0" fontId="162" fillId="0" borderId="0" xfId="0" applyFont="1" applyFill="1" applyAlignment="1">
      <alignment horizontal="right"/>
    </xf>
    <xf numFmtId="164" fontId="0" fillId="0" borderId="0" xfId="0" applyNumberFormat="1" applyFill="1"/>
    <xf numFmtId="3" fontId="108" fillId="4" borderId="2" xfId="0" applyNumberFormat="1" applyFont="1" applyFill="1" applyBorder="1" applyAlignment="1">
      <alignment horizontal="center" vertical="center"/>
    </xf>
    <xf numFmtId="164" fontId="75" fillId="3" borderId="1"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164" fontId="75" fillId="3" borderId="0" xfId="0" applyNumberFormat="1" applyFont="1" applyFill="1" applyBorder="1" applyAlignment="1">
      <alignment horizontal="center" vertical="center"/>
    </xf>
    <xf numFmtId="164" fontId="26" fillId="3" borderId="1" xfId="0" applyNumberFormat="1" applyFont="1" applyFill="1" applyBorder="1" applyAlignment="1">
      <alignment horizontal="center"/>
    </xf>
    <xf numFmtId="164" fontId="4" fillId="3" borderId="2" xfId="0" applyNumberFormat="1" applyFont="1" applyFill="1" applyBorder="1" applyAlignment="1">
      <alignment horizontal="center"/>
    </xf>
    <xf numFmtId="164" fontId="80" fillId="3" borderId="1" xfId="0" applyNumberFormat="1" applyFont="1" applyFill="1" applyBorder="1" applyAlignment="1">
      <alignment horizontal="center" vertical="center"/>
    </xf>
    <xf numFmtId="164" fontId="120" fillId="3" borderId="2" xfId="0" applyNumberFormat="1" applyFont="1" applyFill="1" applyBorder="1" applyAlignment="1">
      <alignment horizontal="center" vertical="center"/>
    </xf>
    <xf numFmtId="164" fontId="90" fillId="3" borderId="2" xfId="0" applyNumberFormat="1" applyFont="1" applyFill="1" applyBorder="1" applyAlignment="1">
      <alignment horizontal="center" vertical="center"/>
    </xf>
    <xf numFmtId="164" fontId="105" fillId="3" borderId="1" xfId="0" applyNumberFormat="1" applyFont="1" applyFill="1" applyBorder="1" applyAlignment="1">
      <alignment horizontal="center" vertical="center"/>
    </xf>
    <xf numFmtId="164" fontId="75" fillId="3" borderId="1"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164" fontId="105" fillId="3" borderId="1" xfId="0" applyNumberFormat="1" applyFont="1" applyFill="1" applyBorder="1" applyAlignment="1">
      <alignment horizontal="center" vertical="center" wrapText="1"/>
    </xf>
    <xf numFmtId="164" fontId="140" fillId="3" borderId="2" xfId="0" applyNumberFormat="1" applyFont="1" applyFill="1" applyBorder="1" applyAlignment="1">
      <alignment horizontal="center" vertical="center"/>
    </xf>
    <xf numFmtId="164" fontId="75" fillId="2" borderId="1"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105" fillId="2" borderId="1" xfId="0" applyNumberFormat="1" applyFont="1" applyFill="1" applyBorder="1" applyAlignment="1">
      <alignment horizontal="center" vertical="center" wrapText="1"/>
    </xf>
    <xf numFmtId="3" fontId="82" fillId="4" borderId="1" xfId="0" applyNumberFormat="1" applyFont="1" applyFill="1" applyBorder="1" applyAlignment="1">
      <alignment horizontal="center" vertical="center"/>
    </xf>
    <xf numFmtId="164" fontId="139" fillId="3" borderId="1" xfId="0" applyNumberFormat="1" applyFont="1" applyFill="1" applyBorder="1" applyAlignment="1">
      <alignment horizontal="center" vertical="center"/>
    </xf>
    <xf numFmtId="0" fontId="82" fillId="4" borderId="1" xfId="0" applyFont="1" applyFill="1" applyBorder="1" applyAlignment="1">
      <alignment horizontal="center" vertical="center" wrapText="1"/>
    </xf>
    <xf numFmtId="0" fontId="122" fillId="4" borderId="2" xfId="0" applyFont="1" applyFill="1" applyBorder="1" applyAlignment="1">
      <alignment horizontal="center" vertical="center" wrapText="1"/>
    </xf>
    <xf numFmtId="164" fontId="26" fillId="3" borderId="1" xfId="0" applyNumberFormat="1" applyFont="1" applyFill="1" applyBorder="1" applyAlignment="1">
      <alignment horizontal="center" vertical="center"/>
    </xf>
    <xf numFmtId="0" fontId="3" fillId="8" borderId="0" xfId="0" applyFont="1" applyFill="1" applyAlignment="1">
      <alignment horizontal="center"/>
    </xf>
    <xf numFmtId="0" fontId="29" fillId="5" borderId="1" xfId="0" applyFont="1" applyFill="1" applyBorder="1" applyAlignment="1">
      <alignment horizontal="center" vertical="top" wrapText="1"/>
    </xf>
    <xf numFmtId="0" fontId="23" fillId="9" borderId="1" xfId="0" applyFont="1" applyFill="1" applyBorder="1" applyAlignment="1">
      <alignment horizontal="center" vertical="top" wrapText="1"/>
    </xf>
    <xf numFmtId="0" fontId="89" fillId="8" borderId="0" xfId="0" applyFont="1" applyFill="1"/>
    <xf numFmtId="0" fontId="11" fillId="0" borderId="0" xfId="0" applyFont="1" applyFill="1" applyAlignment="1">
      <alignment horizontal="center"/>
    </xf>
    <xf numFmtId="3" fontId="7" fillId="4" borderId="1" xfId="0" applyNumberFormat="1" applyFont="1" applyFill="1" applyBorder="1" applyAlignment="1">
      <alignment horizontal="center"/>
    </xf>
    <xf numFmtId="3" fontId="7" fillId="4" borderId="2" xfId="0" applyNumberFormat="1" applyFont="1" applyFill="1" applyBorder="1" applyAlignment="1">
      <alignment horizontal="center"/>
    </xf>
    <xf numFmtId="164" fontId="4" fillId="2" borderId="0" xfId="0" applyNumberFormat="1" applyFont="1" applyFill="1" applyAlignment="1">
      <alignment horizontal="center"/>
    </xf>
    <xf numFmtId="0" fontId="11" fillId="7" borderId="0" xfId="0" applyFont="1" applyFill="1" applyAlignment="1">
      <alignment horizontal="center" vertical="center"/>
    </xf>
    <xf numFmtId="0" fontId="177" fillId="0" borderId="2" xfId="0" applyFont="1" applyFill="1" applyBorder="1" applyAlignment="1">
      <alignment vertical="top" wrapText="1"/>
    </xf>
    <xf numFmtId="164" fontId="75" fillId="0" borderId="2" xfId="0" applyNumberFormat="1" applyFont="1" applyFill="1" applyBorder="1" applyAlignment="1">
      <alignment horizontal="center" vertical="top" wrapText="1"/>
    </xf>
    <xf numFmtId="164" fontId="26" fillId="0" borderId="2" xfId="0" applyNumberFormat="1" applyFont="1" applyFill="1" applyBorder="1" applyAlignment="1">
      <alignment horizontal="center" vertical="top" wrapText="1"/>
    </xf>
    <xf numFmtId="0" fontId="0" fillId="0" borderId="0" xfId="0" applyFont="1" applyFill="1" applyBorder="1" applyAlignment="1">
      <alignment vertical="top" wrapText="1"/>
    </xf>
    <xf numFmtId="0" fontId="0" fillId="0" borderId="2" xfId="0" applyFill="1" applyBorder="1"/>
    <xf numFmtId="0" fontId="17" fillId="9" borderId="2" xfId="0" applyFont="1" applyFill="1" applyBorder="1" applyAlignment="1">
      <alignment horizontal="center" vertical="top" wrapText="1"/>
    </xf>
    <xf numFmtId="0" fontId="23" fillId="6" borderId="1" xfId="0" applyFont="1" applyFill="1" applyBorder="1" applyAlignment="1">
      <alignment horizontal="center" vertical="top" wrapText="1"/>
    </xf>
    <xf numFmtId="0" fontId="17" fillId="0" borderId="0" xfId="0" applyFont="1" applyAlignment="1">
      <alignment horizontal="center" vertical="top" wrapText="1"/>
    </xf>
    <xf numFmtId="1" fontId="26" fillId="0" borderId="0" xfId="0" applyNumberFormat="1" applyFont="1" applyAlignment="1">
      <alignment horizontal="center" vertical="center"/>
    </xf>
    <xf numFmtId="0" fontId="22" fillId="0" borderId="0" xfId="0" applyFont="1" applyFill="1" applyBorder="1" applyAlignment="1">
      <alignment horizontal="center" vertical="center"/>
    </xf>
    <xf numFmtId="164" fontId="26" fillId="0" borderId="0" xfId="0" applyNumberFormat="1" applyFont="1" applyFill="1" applyBorder="1" applyAlignment="1">
      <alignment horizontal="center" vertical="center"/>
    </xf>
    <xf numFmtId="1" fontId="26" fillId="0" borderId="0" xfId="0" applyNumberFormat="1" applyFont="1" applyFill="1" applyAlignment="1">
      <alignment horizontal="center" vertical="center"/>
    </xf>
    <xf numFmtId="0" fontId="33" fillId="0" borderId="1" xfId="0" applyFont="1" applyFill="1" applyBorder="1" applyAlignment="1">
      <alignment horizontal="center" vertical="top" wrapText="1"/>
    </xf>
    <xf numFmtId="0" fontId="22" fillId="0" borderId="0" xfId="0" applyFont="1" applyFill="1" applyBorder="1" applyAlignment="1">
      <alignment horizontal="center"/>
    </xf>
    <xf numFmtId="0" fontId="11" fillId="0" borderId="0" xfId="0" applyFont="1" applyAlignment="1">
      <alignment horizontal="center"/>
    </xf>
    <xf numFmtId="0" fontId="11" fillId="0" borderId="1" xfId="0" applyFont="1" applyBorder="1" applyAlignment="1">
      <alignment horizontal="center"/>
    </xf>
    <xf numFmtId="3" fontId="53" fillId="4" borderId="1" xfId="0" applyNumberFormat="1" applyFont="1" applyFill="1" applyBorder="1" applyAlignment="1">
      <alignment horizontal="center" vertical="center"/>
    </xf>
    <xf numFmtId="0" fontId="85" fillId="7" borderId="0" xfId="0" applyFont="1" applyFill="1" applyBorder="1"/>
    <xf numFmtId="0" fontId="89" fillId="7" borderId="0" xfId="0" applyFont="1" applyFill="1" applyBorder="1" applyAlignment="1">
      <alignment vertical="center" wrapText="1"/>
    </xf>
    <xf numFmtId="0" fontId="85" fillId="7" borderId="0" xfId="0" applyFont="1" applyFill="1" applyBorder="1" applyAlignment="1">
      <alignment vertical="center" wrapText="1"/>
    </xf>
    <xf numFmtId="164" fontId="85" fillId="7" borderId="0" xfId="0" applyNumberFormat="1" applyFont="1" applyFill="1" applyBorder="1" applyAlignment="1">
      <alignment horizontal="center" vertical="center"/>
    </xf>
    <xf numFmtId="0" fontId="141" fillId="7" borderId="0" xfId="0" applyFont="1" applyFill="1" applyAlignment="1">
      <alignment vertical="center"/>
    </xf>
    <xf numFmtId="0" fontId="102" fillId="7" borderId="0" xfId="0" applyFont="1" applyFill="1" applyBorder="1" applyAlignment="1">
      <alignment vertical="top" wrapText="1"/>
    </xf>
    <xf numFmtId="0" fontId="28" fillId="4" borderId="1" xfId="0" applyFont="1" applyFill="1" applyBorder="1" applyAlignment="1">
      <alignment horizontal="center" vertical="top" wrapText="1"/>
    </xf>
    <xf numFmtId="0" fontId="7" fillId="0" borderId="0" xfId="0" applyFont="1" applyFill="1" applyAlignment="1">
      <alignment horizontal="center" vertical="center"/>
    </xf>
    <xf numFmtId="0" fontId="34" fillId="0" borderId="0" xfId="0" applyFont="1" applyFill="1" applyAlignment="1">
      <alignment horizontal="left" vertical="top" wrapText="1"/>
    </xf>
    <xf numFmtId="0" fontId="164" fillId="0" borderId="0" xfId="0" applyFont="1" applyFill="1" applyAlignment="1">
      <alignment horizontal="right"/>
    </xf>
    <xf numFmtId="0" fontId="164" fillId="0" borderId="0" xfId="0" applyFont="1" applyFill="1" applyBorder="1" applyAlignment="1">
      <alignment horizontal="right"/>
    </xf>
    <xf numFmtId="0" fontId="17" fillId="6" borderId="2" xfId="0" applyFont="1" applyFill="1" applyBorder="1" applyAlignment="1">
      <alignment horizontal="center" vertical="top" wrapText="1"/>
    </xf>
    <xf numFmtId="0" fontId="34" fillId="0" borderId="2" xfId="0" applyFont="1" applyFill="1" applyBorder="1" applyAlignment="1">
      <alignment horizontal="left" vertical="top" wrapText="1"/>
    </xf>
    <xf numFmtId="0" fontId="180" fillId="0" borderId="0" xfId="0" applyFont="1" applyAlignment="1">
      <alignment horizontal="center" vertical="top" wrapText="1"/>
    </xf>
    <xf numFmtId="0" fontId="168" fillId="0" borderId="0" xfId="0" applyFont="1" applyFill="1" applyBorder="1" applyAlignment="1">
      <alignment horizontal="center"/>
    </xf>
    <xf numFmtId="0" fontId="22" fillId="0" borderId="0" xfId="0" applyFont="1" applyFill="1" applyBorder="1" applyAlignment="1">
      <alignment vertical="top" wrapText="1"/>
    </xf>
    <xf numFmtId="0" fontId="179" fillId="0" borderId="0" xfId="0" applyFont="1" applyFill="1" applyAlignment="1">
      <alignment horizontal="right"/>
    </xf>
    <xf numFmtId="0" fontId="11" fillId="0" borderId="0" xfId="0" applyFont="1" applyBorder="1" applyAlignment="1">
      <alignment horizontal="center"/>
    </xf>
    <xf numFmtId="0" fontId="14" fillId="0" borderId="0" xfId="0" applyFont="1" applyFill="1" applyBorder="1" applyAlignment="1">
      <alignment horizontal="center"/>
    </xf>
    <xf numFmtId="0" fontId="22" fillId="0" borderId="0" xfId="0" applyFont="1" applyFill="1" applyAlignment="1">
      <alignment horizontal="center" vertical="center" wrapText="1"/>
    </xf>
    <xf numFmtId="0" fontId="72" fillId="0" borderId="0" xfId="0" applyFont="1" applyFill="1" applyAlignment="1">
      <alignment vertical="top" wrapText="1"/>
    </xf>
    <xf numFmtId="0" fontId="34" fillId="0" borderId="0" xfId="2" applyFont="1" applyFill="1" applyAlignment="1">
      <alignment vertical="top" wrapText="1"/>
    </xf>
    <xf numFmtId="0" fontId="0" fillId="0" borderId="0" xfId="0" applyFont="1" applyBorder="1"/>
    <xf numFmtId="0" fontId="98" fillId="0" borderId="0" xfId="0" applyFont="1" applyAlignment="1">
      <alignment wrapText="1"/>
    </xf>
    <xf numFmtId="164" fontId="105" fillId="0" borderId="0" xfId="0" applyNumberFormat="1" applyFont="1" applyFill="1" applyAlignment="1">
      <alignment horizontal="center" vertical="top"/>
    </xf>
    <xf numFmtId="1" fontId="97" fillId="0" borderId="0" xfId="0" applyNumberFormat="1" applyFont="1" applyFill="1" applyAlignment="1">
      <alignment horizontal="right"/>
    </xf>
    <xf numFmtId="0" fontId="142" fillId="0" borderId="0" xfId="0" applyFont="1" applyFill="1" applyAlignment="1">
      <alignment horizontal="right" vertical="center" wrapText="1"/>
    </xf>
    <xf numFmtId="0" fontId="92" fillId="0" borderId="0" xfId="0" applyFont="1" applyFill="1" applyAlignment="1">
      <alignment horizontal="center"/>
    </xf>
    <xf numFmtId="0" fontId="0" fillId="0" borderId="0" xfId="0" applyFill="1" applyAlignment="1">
      <alignment vertical="top" wrapText="1"/>
    </xf>
    <xf numFmtId="0" fontId="7" fillId="0" borderId="2" xfId="0" applyFont="1" applyFill="1" applyBorder="1" applyAlignment="1">
      <alignment horizontal="right" vertical="center"/>
    </xf>
    <xf numFmtId="0" fontId="29" fillId="0" borderId="0" xfId="0" applyFont="1" applyFill="1" applyBorder="1" applyAlignment="1">
      <alignment horizontal="right" vertical="top" wrapText="1"/>
    </xf>
    <xf numFmtId="0" fontId="194" fillId="0" borderId="0" xfId="0" applyFont="1" applyBorder="1" applyAlignment="1">
      <alignment vertical="top" wrapText="1"/>
    </xf>
    <xf numFmtId="0" fontId="194" fillId="0" borderId="1" xfId="0" applyFont="1" applyFill="1" applyBorder="1" applyAlignment="1">
      <alignment vertical="top" wrapText="1"/>
    </xf>
    <xf numFmtId="164" fontId="4" fillId="2" borderId="2" xfId="0" applyNumberFormat="1" applyFont="1" applyFill="1" applyBorder="1" applyAlignment="1">
      <alignment horizontal="center" vertical="center" wrapText="1"/>
    </xf>
    <xf numFmtId="0" fontId="0" fillId="0" borderId="0" xfId="0" applyAlignment="1">
      <alignment vertical="top" wrapText="1"/>
    </xf>
    <xf numFmtId="0" fontId="109" fillId="0" borderId="0" xfId="0" applyFont="1" applyAlignment="1">
      <alignment vertical="top" wrapText="1"/>
    </xf>
    <xf numFmtId="0" fontId="98" fillId="0" borderId="0" xfId="0" applyFont="1" applyAlignment="1">
      <alignment vertical="top" wrapText="1"/>
    </xf>
    <xf numFmtId="0" fontId="27" fillId="0" borderId="0" xfId="0" applyFont="1" applyFill="1" applyAlignment="1">
      <alignment horizontal="left" vertical="top" wrapText="1"/>
    </xf>
    <xf numFmtId="0" fontId="186" fillId="0" borderId="0" xfId="0" applyFont="1" applyAlignment="1">
      <alignment vertical="top" wrapText="1"/>
    </xf>
    <xf numFmtId="0" fontId="98" fillId="0" borderId="0" xfId="0" applyFont="1"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109" fillId="0" borderId="0" xfId="0" applyFont="1" applyAlignment="1">
      <alignment vertical="top" wrapText="1"/>
    </xf>
    <xf numFmtId="0" fontId="98" fillId="0" borderId="0" xfId="0" applyFont="1" applyAlignment="1">
      <alignment vertical="top" wrapText="1"/>
    </xf>
    <xf numFmtId="0" fontId="27" fillId="0" borderId="0" xfId="0" applyFont="1" applyFill="1" applyAlignment="1">
      <alignment horizontal="left" vertical="top" wrapText="1"/>
    </xf>
    <xf numFmtId="0" fontId="186" fillId="0" borderId="0" xfId="0" applyFont="1" applyAlignment="1">
      <alignment vertical="top" wrapText="1"/>
    </xf>
    <xf numFmtId="0" fontId="98" fillId="0" borderId="0" xfId="0" applyFont="1" applyFill="1" applyAlignment="1">
      <alignment vertical="top" wrapText="1"/>
    </xf>
    <xf numFmtId="0" fontId="0" fillId="0" borderId="0" xfId="0" applyFill="1" applyAlignment="1">
      <alignment vertical="top" wrapText="1"/>
    </xf>
    <xf numFmtId="0" fontId="69" fillId="0" borderId="0" xfId="0" applyFont="1" applyFill="1" applyAlignment="1">
      <alignment horizontal="left" vertical="top"/>
    </xf>
    <xf numFmtId="0" fontId="69" fillId="0" borderId="0" xfId="0" applyFont="1" applyAlignment="1">
      <alignment horizontal="left" vertical="top"/>
    </xf>
    <xf numFmtId="165" fontId="209" fillId="0" borderId="0" xfId="0" applyNumberFormat="1" applyFont="1" applyBorder="1" applyAlignment="1">
      <alignment horizontal="center" vertical="center"/>
    </xf>
    <xf numFmtId="165" fontId="209" fillId="0" borderId="0" xfId="0" applyNumberFormat="1" applyFont="1" applyFill="1" applyBorder="1" applyAlignment="1">
      <alignment horizontal="center" vertical="center"/>
    </xf>
    <xf numFmtId="165" fontId="209" fillId="0" borderId="0" xfId="0" applyNumberFormat="1" applyFont="1" applyFill="1" applyAlignment="1">
      <alignment horizontal="center" vertical="center"/>
    </xf>
    <xf numFmtId="0" fontId="0" fillId="0" borderId="0" xfId="0" applyAlignment="1">
      <alignment vertical="center"/>
    </xf>
    <xf numFmtId="164" fontId="209" fillId="0" borderId="0" xfId="0" applyNumberFormat="1" applyFont="1" applyBorder="1" applyAlignment="1">
      <alignment horizontal="center" vertical="center"/>
    </xf>
    <xf numFmtId="164" fontId="209" fillId="0" borderId="0" xfId="0" applyNumberFormat="1" applyFont="1" applyFill="1" applyBorder="1" applyAlignment="1">
      <alignment horizontal="center" vertical="center"/>
    </xf>
    <xf numFmtId="0" fontId="23" fillId="2" borderId="0" xfId="0" applyFont="1" applyFill="1" applyBorder="1" applyAlignment="1">
      <alignment horizontal="center" vertical="top" wrapText="1"/>
    </xf>
    <xf numFmtId="164" fontId="26" fillId="2" borderId="0" xfId="0" applyNumberFormat="1" applyFont="1" applyFill="1" applyBorder="1" applyAlignment="1">
      <alignment horizontal="center" vertical="center"/>
    </xf>
    <xf numFmtId="0" fontId="17" fillId="6" borderId="0" xfId="0" applyFont="1" applyFill="1" applyBorder="1" applyAlignment="1">
      <alignment horizontal="center" vertical="top" wrapText="1"/>
    </xf>
    <xf numFmtId="0" fontId="214" fillId="0" borderId="0" xfId="0" applyFont="1" applyAlignment="1">
      <alignment horizontal="center"/>
    </xf>
    <xf numFmtId="0" fontId="214" fillId="0" borderId="1" xfId="0" applyFont="1" applyBorder="1" applyAlignment="1">
      <alignment horizontal="center" vertical="center"/>
    </xf>
    <xf numFmtId="164" fontId="209" fillId="0" borderId="2" xfId="0" applyNumberFormat="1" applyFont="1" applyFill="1" applyBorder="1" applyAlignment="1">
      <alignment horizontal="center" vertical="center"/>
    </xf>
    <xf numFmtId="1" fontId="215" fillId="0" borderId="0" xfId="0" applyNumberFormat="1" applyFont="1" applyFill="1" applyBorder="1" applyAlignment="1">
      <alignment horizontal="center" vertical="center"/>
    </xf>
    <xf numFmtId="164" fontId="209" fillId="3" borderId="1" xfId="0" applyNumberFormat="1" applyFont="1" applyFill="1" applyBorder="1" applyAlignment="1">
      <alignment horizontal="center" vertical="center"/>
    </xf>
    <xf numFmtId="164" fontId="201" fillId="3" borderId="2" xfId="0" applyNumberFormat="1" applyFont="1" applyFill="1" applyBorder="1" applyAlignment="1">
      <alignment horizontal="center" vertical="center"/>
    </xf>
    <xf numFmtId="164" fontId="201" fillId="3" borderId="0" xfId="0" applyNumberFormat="1" applyFont="1" applyFill="1" applyBorder="1" applyAlignment="1">
      <alignment horizontal="center" vertical="center"/>
    </xf>
    <xf numFmtId="164" fontId="209" fillId="2" borderId="1" xfId="0" applyNumberFormat="1" applyFont="1" applyFill="1" applyBorder="1" applyAlignment="1">
      <alignment horizontal="center" vertical="center"/>
    </xf>
    <xf numFmtId="164" fontId="201" fillId="2" borderId="2" xfId="0" applyNumberFormat="1" applyFont="1" applyFill="1" applyBorder="1" applyAlignment="1">
      <alignment horizontal="center" vertical="center"/>
    </xf>
    <xf numFmtId="164" fontId="209" fillId="0" borderId="1" xfId="0" applyNumberFormat="1" applyFont="1" applyFill="1" applyBorder="1" applyAlignment="1">
      <alignment horizontal="center" vertical="center"/>
    </xf>
    <xf numFmtId="164" fontId="209" fillId="0" borderId="3" xfId="0" applyNumberFormat="1" applyFont="1" applyFill="1" applyBorder="1" applyAlignment="1">
      <alignment horizontal="center" vertical="center"/>
    </xf>
    <xf numFmtId="164" fontId="209" fillId="2" borderId="0" xfId="0" applyNumberFormat="1" applyFont="1" applyFill="1" applyBorder="1" applyAlignment="1">
      <alignment horizontal="center" vertical="center"/>
    </xf>
    <xf numFmtId="164" fontId="201" fillId="2" borderId="0" xfId="0" applyNumberFormat="1" applyFont="1" applyFill="1" applyBorder="1" applyAlignment="1">
      <alignment horizontal="center" vertical="center"/>
    </xf>
    <xf numFmtId="1" fontId="193" fillId="0" borderId="0" xfId="0" applyNumberFormat="1" applyFont="1" applyFill="1" applyBorder="1" applyAlignment="1">
      <alignment horizontal="center" vertical="center"/>
    </xf>
    <xf numFmtId="0" fontId="193" fillId="0" borderId="1" xfId="0" applyFont="1" applyFill="1" applyBorder="1" applyAlignment="1">
      <alignment horizontal="center" vertical="center"/>
    </xf>
    <xf numFmtId="1" fontId="209" fillId="0" borderId="1" xfId="0" applyNumberFormat="1" applyFont="1" applyFill="1" applyBorder="1" applyAlignment="1">
      <alignment horizontal="center" vertical="center"/>
    </xf>
    <xf numFmtId="164" fontId="209" fillId="0" borderId="0" xfId="0" applyNumberFormat="1" applyFont="1" applyFill="1" applyAlignment="1">
      <alignment horizontal="center" vertical="center"/>
    </xf>
    <xf numFmtId="164" fontId="209" fillId="0" borderId="3" xfId="0" applyNumberFormat="1" applyFont="1" applyBorder="1" applyAlignment="1">
      <alignment horizontal="center" vertical="center"/>
    </xf>
    <xf numFmtId="0" fontId="0" fillId="0" borderId="0" xfId="0" applyAlignment="1">
      <alignment vertical="center"/>
    </xf>
    <xf numFmtId="0" fontId="202" fillId="4" borderId="0" xfId="0" applyFont="1" applyFill="1" applyBorder="1" applyAlignment="1">
      <alignment horizontal="center" vertical="center" wrapText="1"/>
    </xf>
    <xf numFmtId="164" fontId="209" fillId="0" borderId="3" xfId="0" applyNumberFormat="1" applyFont="1" applyBorder="1" applyAlignment="1">
      <alignment horizontal="center" vertical="center" wrapText="1"/>
    </xf>
    <xf numFmtId="165" fontId="209" fillId="0" borderId="3" xfId="0" applyNumberFormat="1" applyFont="1" applyFill="1" applyBorder="1" applyAlignment="1">
      <alignment horizontal="center" vertical="center" wrapText="1"/>
    </xf>
    <xf numFmtId="164" fontId="209" fillId="0" borderId="3" xfId="0" applyNumberFormat="1" applyFont="1" applyFill="1" applyBorder="1" applyAlignment="1">
      <alignment horizontal="center" vertical="center" wrapText="1"/>
    </xf>
    <xf numFmtId="164" fontId="209" fillId="0" borderId="0" xfId="0" applyNumberFormat="1" applyFont="1" applyFill="1" applyBorder="1" applyAlignment="1">
      <alignment horizontal="center" vertical="center" wrapText="1"/>
    </xf>
    <xf numFmtId="164" fontId="209" fillId="0" borderId="1" xfId="0" applyNumberFormat="1" applyFont="1" applyFill="1" applyBorder="1" applyAlignment="1">
      <alignment horizontal="center" vertical="center" wrapText="1"/>
    </xf>
    <xf numFmtId="164" fontId="209" fillId="0" borderId="2" xfId="0" applyNumberFormat="1" applyFont="1" applyFill="1" applyBorder="1" applyAlignment="1">
      <alignment horizontal="center" vertical="center" wrapText="1"/>
    </xf>
    <xf numFmtId="165" fontId="209" fillId="0" borderId="0" xfId="0" applyNumberFormat="1" applyFont="1" applyFill="1" applyBorder="1" applyAlignment="1">
      <alignment horizontal="center" vertical="center" wrapText="1"/>
    </xf>
    <xf numFmtId="0" fontId="202" fillId="4" borderId="2" xfId="0" applyFont="1" applyFill="1" applyBorder="1" applyAlignment="1">
      <alignment horizontal="center" vertical="center"/>
    </xf>
    <xf numFmtId="165" fontId="209" fillId="0" borderId="1" xfId="0" applyNumberFormat="1" applyFont="1" applyFill="1" applyBorder="1" applyAlignment="1">
      <alignment horizontal="center" vertical="center"/>
    </xf>
    <xf numFmtId="0" fontId="39" fillId="7" borderId="0" xfId="0" applyFont="1" applyFill="1" applyBorder="1"/>
    <xf numFmtId="0" fontId="48" fillId="0" borderId="0" xfId="0" applyFont="1" applyFill="1" applyAlignment="1">
      <alignment horizontal="right" vertical="top" wrapText="1"/>
    </xf>
    <xf numFmtId="164" fontId="209" fillId="0" borderId="0" xfId="0" applyNumberFormat="1" applyFont="1" applyFill="1" applyAlignment="1">
      <alignment horizontal="center" vertical="center" wrapText="1"/>
    </xf>
    <xf numFmtId="165" fontId="209" fillId="0" borderId="0" xfId="0" applyNumberFormat="1" applyFont="1" applyFill="1" applyAlignment="1">
      <alignment horizontal="center" vertical="top" wrapText="1"/>
    </xf>
    <xf numFmtId="164" fontId="209" fillId="0" borderId="0" xfId="0" applyNumberFormat="1" applyFont="1" applyFill="1" applyBorder="1" applyAlignment="1">
      <alignment horizontal="center" vertical="top" wrapText="1"/>
    </xf>
    <xf numFmtId="164" fontId="209" fillId="0" borderId="2" xfId="0" applyNumberFormat="1" applyFont="1" applyFill="1" applyBorder="1" applyAlignment="1">
      <alignment horizontal="center" vertical="top" wrapText="1"/>
    </xf>
    <xf numFmtId="0" fontId="34" fillId="0" borderId="0" xfId="0" applyFont="1" applyBorder="1" applyAlignment="1">
      <alignment horizontal="right" vertical="top" wrapText="1"/>
    </xf>
    <xf numFmtId="164" fontId="219" fillId="0" borderId="1" xfId="0" applyNumberFormat="1" applyFont="1" applyFill="1" applyBorder="1" applyAlignment="1">
      <alignment horizontal="center" vertical="center"/>
    </xf>
    <xf numFmtId="164" fontId="219" fillId="0" borderId="2" xfId="0" applyNumberFormat="1" applyFont="1" applyFill="1" applyBorder="1" applyAlignment="1">
      <alignment horizontal="center" vertical="center"/>
    </xf>
    <xf numFmtId="164" fontId="219" fillId="0" borderId="0" xfId="0" applyNumberFormat="1" applyFont="1" applyFill="1" applyBorder="1" applyAlignment="1">
      <alignment horizontal="center" vertical="center"/>
    </xf>
    <xf numFmtId="0" fontId="0" fillId="0" borderId="0" xfId="0" applyAlignment="1">
      <alignment vertical="center"/>
    </xf>
    <xf numFmtId="0" fontId="0" fillId="0" borderId="0" xfId="0" applyFill="1" applyBorder="1" applyAlignment="1">
      <alignment vertical="top" wrapText="1"/>
    </xf>
    <xf numFmtId="0" fontId="0" fillId="0" borderId="0" xfId="0" applyBorder="1" applyAlignment="1">
      <alignment vertical="top" wrapText="1"/>
    </xf>
    <xf numFmtId="0" fontId="34" fillId="0" borderId="0" xfId="0" applyFont="1" applyBorder="1" applyAlignment="1">
      <alignment horizontal="left" vertical="top" wrapText="1"/>
    </xf>
    <xf numFmtId="0" fontId="202" fillId="4" borderId="0" xfId="0" applyFont="1" applyFill="1" applyBorder="1" applyAlignment="1">
      <alignment horizontal="center" vertical="center"/>
    </xf>
    <xf numFmtId="165" fontId="209" fillId="0" borderId="2" xfId="0" applyNumberFormat="1" applyFont="1" applyFill="1" applyBorder="1" applyAlignment="1">
      <alignment horizontal="center" vertical="center"/>
    </xf>
    <xf numFmtId="0" fontId="202" fillId="0" borderId="0" xfId="0" applyFont="1" applyFill="1" applyAlignment="1">
      <alignment horizontal="right" vertical="center"/>
    </xf>
    <xf numFmtId="165" fontId="209" fillId="0" borderId="0" xfId="0" applyNumberFormat="1" applyFont="1" applyAlignment="1">
      <alignment horizontal="center"/>
    </xf>
    <xf numFmtId="1" fontId="209" fillId="0" borderId="0" xfId="0" applyNumberFormat="1" applyFont="1" applyAlignment="1">
      <alignment horizontal="center" vertical="center"/>
    </xf>
    <xf numFmtId="1" fontId="209" fillId="0" borderId="0" xfId="0" applyNumberFormat="1" applyFont="1" applyFill="1" applyAlignment="1">
      <alignment horizontal="center" vertical="center"/>
    </xf>
    <xf numFmtId="165" fontId="209" fillId="0" borderId="2" xfId="0" applyNumberFormat="1" applyFont="1" applyBorder="1" applyAlignment="1">
      <alignment horizontal="center"/>
    </xf>
    <xf numFmtId="164" fontId="209" fillId="0" borderId="0" xfId="0" applyNumberFormat="1" applyFont="1" applyAlignment="1">
      <alignment horizontal="center"/>
    </xf>
    <xf numFmtId="164" fontId="209" fillId="0" borderId="0" xfId="0" applyNumberFormat="1" applyFont="1" applyBorder="1" applyAlignment="1">
      <alignment horizontal="center"/>
    </xf>
    <xf numFmtId="164" fontId="209" fillId="0" borderId="2" xfId="0" applyNumberFormat="1" applyFont="1" applyFill="1" applyBorder="1" applyAlignment="1">
      <alignment horizontal="center"/>
    </xf>
    <xf numFmtId="0" fontId="227" fillId="7" borderId="0" xfId="0" applyFont="1" applyFill="1" applyBorder="1" applyAlignment="1">
      <alignment vertical="center"/>
    </xf>
    <xf numFmtId="0" fontId="214" fillId="0" borderId="0" xfId="0" applyFont="1" applyAlignment="1">
      <alignment vertical="center"/>
    </xf>
    <xf numFmtId="164" fontId="226" fillId="0" borderId="2" xfId="0" applyNumberFormat="1" applyFont="1" applyFill="1" applyBorder="1" applyAlignment="1">
      <alignment horizontal="center" vertical="center"/>
    </xf>
    <xf numFmtId="0" fontId="214" fillId="0" borderId="0" xfId="0" applyFont="1" applyAlignment="1">
      <alignment horizontal="center" vertical="center"/>
    </xf>
    <xf numFmtId="0" fontId="214" fillId="0" borderId="0" xfId="0" applyFont="1" applyBorder="1" applyAlignment="1">
      <alignment horizontal="center" vertical="center"/>
    </xf>
    <xf numFmtId="0" fontId="225" fillId="0" borderId="0" xfId="0" applyFont="1" applyAlignment="1">
      <alignment horizontal="right" vertical="center"/>
    </xf>
    <xf numFmtId="165" fontId="209" fillId="0" borderId="0" xfId="0" applyNumberFormat="1" applyFont="1" applyFill="1" applyBorder="1" applyAlignment="1">
      <alignment horizontal="center"/>
    </xf>
    <xf numFmtId="165" fontId="209" fillId="0" borderId="0" xfId="0" applyNumberFormat="1" applyFont="1" applyFill="1" applyAlignment="1">
      <alignment horizontal="center"/>
    </xf>
    <xf numFmtId="0" fontId="196" fillId="0" borderId="0" xfId="0" applyFont="1" applyBorder="1" applyAlignment="1">
      <alignment horizontal="left" vertical="top" wrapText="1"/>
    </xf>
    <xf numFmtId="164" fontId="201" fillId="3" borderId="2" xfId="0" applyNumberFormat="1" applyFont="1" applyFill="1" applyBorder="1" applyAlignment="1">
      <alignment horizontal="center"/>
    </xf>
    <xf numFmtId="3" fontId="11" fillId="4" borderId="0" xfId="0" applyNumberFormat="1" applyFont="1" applyFill="1" applyAlignment="1">
      <alignment horizontal="center"/>
    </xf>
    <xf numFmtId="3" fontId="11" fillId="0" borderId="1" xfId="0" applyNumberFormat="1" applyFont="1" applyBorder="1" applyAlignment="1">
      <alignment horizontal="center"/>
    </xf>
    <xf numFmtId="164" fontId="26" fillId="2" borderId="0" xfId="0" applyNumberFormat="1" applyFont="1" applyFill="1" applyAlignment="1">
      <alignment horizontal="center"/>
    </xf>
    <xf numFmtId="164" fontId="26" fillId="2" borderId="1" xfId="0" applyNumberFormat="1" applyFont="1" applyFill="1" applyBorder="1" applyAlignment="1">
      <alignment horizontal="center"/>
    </xf>
    <xf numFmtId="164" fontId="26" fillId="3" borderId="0" xfId="0" applyNumberFormat="1" applyFont="1" applyFill="1" applyAlignment="1">
      <alignment horizontal="center"/>
    </xf>
    <xf numFmtId="164" fontId="209" fillId="3" borderId="1" xfId="0" applyNumberFormat="1" applyFont="1" applyFill="1" applyBorder="1" applyAlignment="1">
      <alignment horizontal="center"/>
    </xf>
    <xf numFmtId="164" fontId="209" fillId="0" borderId="3" xfId="0" applyNumberFormat="1" applyFont="1" applyFill="1" applyBorder="1" applyAlignment="1">
      <alignment horizontal="center"/>
    </xf>
    <xf numFmtId="3" fontId="7" fillId="4" borderId="0" xfId="0" applyNumberFormat="1" applyFont="1" applyFill="1" applyBorder="1" applyAlignment="1">
      <alignment horizontal="center"/>
    </xf>
    <xf numFmtId="165" fontId="209" fillId="0" borderId="0" xfId="0" applyNumberFormat="1" applyFont="1" applyFill="1" applyAlignment="1">
      <alignment horizontal="center" vertical="center" wrapText="1"/>
    </xf>
    <xf numFmtId="165" fontId="209" fillId="0" borderId="2" xfId="0" applyNumberFormat="1" applyFont="1" applyFill="1" applyBorder="1" applyAlignment="1">
      <alignment horizontal="center"/>
    </xf>
    <xf numFmtId="3" fontId="11" fillId="4" borderId="1" xfId="0" applyNumberFormat="1" applyFont="1" applyFill="1" applyBorder="1" applyAlignment="1">
      <alignment horizontal="center"/>
    </xf>
    <xf numFmtId="164" fontId="209" fillId="2" borderId="1" xfId="0" applyNumberFormat="1" applyFont="1" applyFill="1" applyBorder="1" applyAlignment="1">
      <alignment horizontal="center"/>
    </xf>
    <xf numFmtId="164" fontId="201" fillId="2" borderId="2" xfId="0" applyNumberFormat="1" applyFont="1" applyFill="1" applyBorder="1" applyAlignment="1">
      <alignment horizontal="center"/>
    </xf>
    <xf numFmtId="0" fontId="225" fillId="0" borderId="0" xfId="0" applyFont="1" applyFill="1" applyAlignment="1">
      <alignment horizontal="right" vertical="center"/>
    </xf>
    <xf numFmtId="0" fontId="0" fillId="0" borderId="0" xfId="0" applyFill="1" applyBorder="1" applyAlignment="1">
      <alignment vertical="top" wrapText="1"/>
    </xf>
    <xf numFmtId="0" fontId="0" fillId="0" borderId="0" xfId="0" applyAlignment="1">
      <alignment vertical="center"/>
    </xf>
    <xf numFmtId="164" fontId="216" fillId="0" borderId="0" xfId="0" applyNumberFormat="1" applyFont="1" applyFill="1" applyAlignment="1">
      <alignment horizontal="center" vertical="center" wrapText="1"/>
    </xf>
    <xf numFmtId="1" fontId="210" fillId="0" borderId="0" xfId="0" applyNumberFormat="1" applyFont="1" applyAlignment="1">
      <alignment horizontal="center" vertical="center" wrapText="1"/>
    </xf>
    <xf numFmtId="3" fontId="210" fillId="0" borderId="0" xfId="0" applyNumberFormat="1" applyFont="1" applyAlignment="1">
      <alignment horizontal="center" vertical="center" wrapText="1"/>
    </xf>
    <xf numFmtId="3" fontId="214" fillId="0" borderId="0" xfId="0" applyNumberFormat="1" applyFont="1" applyAlignment="1">
      <alignment horizontal="center" vertical="center" wrapText="1"/>
    </xf>
    <xf numFmtId="3" fontId="214" fillId="0" borderId="0" xfId="0" applyNumberFormat="1" applyFont="1" applyAlignment="1">
      <alignment horizontal="center"/>
    </xf>
    <xf numFmtId="3" fontId="230" fillId="0" borderId="0" xfId="0" applyNumberFormat="1" applyFont="1" applyFill="1" applyAlignment="1">
      <alignment horizontal="center" vertical="center"/>
    </xf>
    <xf numFmtId="3" fontId="214" fillId="0" borderId="0" xfId="0" applyNumberFormat="1" applyFont="1" applyFill="1" applyAlignment="1">
      <alignment horizontal="center" vertical="center"/>
    </xf>
    <xf numFmtId="0" fontId="0" fillId="0" borderId="0" xfId="0" applyAlignment="1">
      <alignment vertical="center"/>
    </xf>
    <xf numFmtId="0" fontId="72" fillId="0" borderId="0" xfId="0" applyFont="1" applyFill="1" applyBorder="1" applyAlignment="1">
      <alignment horizontal="right" vertical="top" wrapText="1"/>
    </xf>
    <xf numFmtId="0" fontId="163" fillId="0" borderId="0" xfId="0" applyFont="1" applyAlignment="1">
      <alignment vertical="top" wrapText="1"/>
    </xf>
    <xf numFmtId="3" fontId="214" fillId="0" borderId="0" xfId="0" applyNumberFormat="1" applyFont="1" applyAlignment="1">
      <alignment horizontal="center" vertical="center"/>
    </xf>
    <xf numFmtId="164" fontId="231" fillId="0" borderId="0" xfId="0" applyNumberFormat="1" applyFont="1" applyAlignment="1">
      <alignment horizontal="center" vertical="center"/>
    </xf>
    <xf numFmtId="164" fontId="198" fillId="0" borderId="0" xfId="0" applyNumberFormat="1" applyFont="1" applyAlignment="1">
      <alignment horizontal="right" vertical="top" wrapText="1"/>
    </xf>
    <xf numFmtId="0" fontId="0" fillId="0" borderId="0" xfId="0" applyBorder="1" applyAlignment="1">
      <alignment vertical="top" wrapText="1"/>
    </xf>
    <xf numFmtId="0" fontId="230" fillId="0" borderId="1" xfId="0" applyFont="1" applyFill="1" applyBorder="1" applyAlignment="1">
      <alignment horizontal="center" vertical="top" wrapText="1"/>
    </xf>
    <xf numFmtId="0" fontId="230" fillId="0" borderId="0" xfId="0" applyFont="1" applyFill="1" applyBorder="1" applyAlignment="1">
      <alignment horizontal="center" vertical="top" wrapText="1"/>
    </xf>
    <xf numFmtId="1" fontId="230" fillId="0" borderId="0" xfId="0" applyNumberFormat="1" applyFont="1" applyFill="1" applyAlignment="1">
      <alignment horizontal="center" vertical="top" wrapText="1"/>
    </xf>
    <xf numFmtId="164" fontId="231" fillId="0" borderId="0" xfId="0" applyNumberFormat="1" applyFont="1" applyFill="1" applyAlignment="1">
      <alignment horizontal="center" vertical="top" wrapText="1"/>
    </xf>
    <xf numFmtId="164" fontId="26" fillId="0" borderId="0" xfId="0" applyNumberFormat="1" applyFont="1" applyFill="1" applyBorder="1" applyAlignment="1">
      <alignment horizontal="center" vertical="center" wrapText="1"/>
    </xf>
    <xf numFmtId="0" fontId="214" fillId="0" borderId="0" xfId="0" applyFont="1" applyFill="1" applyBorder="1" applyAlignment="1">
      <alignment horizontal="center" vertical="top" wrapText="1"/>
    </xf>
    <xf numFmtId="1" fontId="214" fillId="0" borderId="2" xfId="0" applyNumberFormat="1" applyFont="1" applyFill="1" applyBorder="1" applyAlignment="1">
      <alignment horizontal="center" vertical="top" wrapText="1"/>
    </xf>
    <xf numFmtId="0" fontId="214" fillId="0" borderId="1" xfId="0" applyFont="1" applyFill="1" applyBorder="1" applyAlignment="1">
      <alignment horizontal="center" vertical="top" wrapText="1"/>
    </xf>
    <xf numFmtId="0" fontId="214" fillId="0" borderId="2" xfId="0" applyFont="1" applyFill="1" applyBorder="1" applyAlignment="1">
      <alignment horizontal="center" vertical="top" wrapText="1"/>
    </xf>
    <xf numFmtId="165" fontId="231" fillId="0" borderId="0" xfId="0" applyNumberFormat="1" applyFont="1" applyFill="1" applyBorder="1" applyAlignment="1">
      <alignment horizontal="center" vertical="top" wrapText="1"/>
    </xf>
    <xf numFmtId="164" fontId="226" fillId="13" borderId="1" xfId="0" applyNumberFormat="1" applyFont="1" applyFill="1" applyBorder="1" applyAlignment="1">
      <alignment horizontal="center"/>
    </xf>
    <xf numFmtId="164" fontId="233" fillId="13" borderId="2" xfId="0" applyNumberFormat="1" applyFont="1" applyFill="1" applyBorder="1" applyAlignment="1">
      <alignment horizontal="center"/>
    </xf>
    <xf numFmtId="164" fontId="226" fillId="0" borderId="0" xfId="0" applyNumberFormat="1" applyFont="1" applyFill="1" applyBorder="1" applyAlignment="1">
      <alignment horizontal="center"/>
    </xf>
    <xf numFmtId="164" fontId="226" fillId="0" borderId="2" xfId="0" applyNumberFormat="1" applyFont="1" applyFill="1" applyBorder="1" applyAlignment="1">
      <alignment horizontal="center"/>
    </xf>
    <xf numFmtId="164" fontId="216" fillId="0" borderId="0" xfId="0" applyNumberFormat="1" applyFont="1" applyFill="1" applyAlignment="1">
      <alignment horizontal="center"/>
    </xf>
    <xf numFmtId="164" fontId="26" fillId="0" borderId="1" xfId="0" applyNumberFormat="1" applyFont="1" applyFill="1" applyBorder="1" applyAlignment="1">
      <alignment horizontal="center" vertical="center"/>
    </xf>
    <xf numFmtId="0" fontId="39" fillId="7" borderId="0" xfId="0" applyFont="1" applyFill="1" applyBorder="1" applyAlignment="1"/>
    <xf numFmtId="3" fontId="234" fillId="0" borderId="0" xfId="0" applyNumberFormat="1" applyFont="1" applyFill="1" applyAlignment="1">
      <alignment horizontal="center" vertical="center"/>
    </xf>
    <xf numFmtId="3" fontId="22" fillId="0" borderId="0" xfId="0" applyNumberFormat="1" applyFont="1" applyFill="1" applyAlignment="1">
      <alignment horizontal="center" vertical="center"/>
    </xf>
    <xf numFmtId="0" fontId="210" fillId="0" borderId="0" xfId="0" applyFont="1" applyFill="1" applyAlignment="1"/>
    <xf numFmtId="0" fontId="4" fillId="0" borderId="0" xfId="0" applyFont="1" applyFill="1" applyAlignment="1"/>
    <xf numFmtId="164" fontId="216" fillId="0" borderId="2" xfId="0" applyNumberFormat="1" applyFont="1" applyFill="1" applyBorder="1" applyAlignment="1">
      <alignment horizontal="center" vertical="top" wrapText="1"/>
    </xf>
    <xf numFmtId="0" fontId="0" fillId="0" borderId="1" xfId="0" applyFill="1" applyBorder="1" applyAlignment="1">
      <alignment horizontal="center" vertical="top" wrapText="1"/>
    </xf>
    <xf numFmtId="164" fontId="11" fillId="0" borderId="3" xfId="0" applyNumberFormat="1" applyFont="1" applyFill="1" applyBorder="1" applyAlignment="1">
      <alignment horizontal="center"/>
    </xf>
    <xf numFmtId="164" fontId="203" fillId="0" borderId="0" xfId="0" applyNumberFormat="1" applyFont="1" applyFill="1" applyBorder="1" applyAlignment="1">
      <alignment horizontal="right" vertical="top" wrapText="1"/>
    </xf>
    <xf numFmtId="0" fontId="36" fillId="0" borderId="0" xfId="0" applyFont="1" applyFill="1" applyBorder="1" applyAlignment="1">
      <alignment horizontal="center" vertical="top" wrapText="1"/>
    </xf>
    <xf numFmtId="0" fontId="53" fillId="0" borderId="0" xfId="0" applyFont="1" applyFill="1" applyAlignment="1">
      <alignment vertical="top" wrapText="1"/>
    </xf>
    <xf numFmtId="164" fontId="53" fillId="0" borderId="0" xfId="0" applyNumberFormat="1" applyFont="1" applyFill="1" applyAlignment="1">
      <alignment vertical="top" wrapText="1"/>
    </xf>
    <xf numFmtId="0" fontId="0" fillId="0" borderId="1" xfId="0" applyFill="1" applyBorder="1" applyAlignment="1">
      <alignment horizontal="left" vertical="top" wrapText="1"/>
    </xf>
    <xf numFmtId="164" fontId="231" fillId="0" borderId="0" xfId="0" applyNumberFormat="1" applyFont="1" applyFill="1" applyBorder="1" applyAlignment="1">
      <alignment horizontal="center" vertical="top" wrapText="1"/>
    </xf>
    <xf numFmtId="0" fontId="36" fillId="0" borderId="0" xfId="0" applyFont="1" applyFill="1" applyBorder="1" applyAlignment="1">
      <alignment vertical="top" wrapText="1"/>
    </xf>
    <xf numFmtId="0" fontId="0" fillId="0" borderId="0" xfId="0" applyFill="1" applyBorder="1" applyAlignment="1">
      <alignment vertical="top" wrapText="1"/>
    </xf>
    <xf numFmtId="0" fontId="39" fillId="7" borderId="0" xfId="0" applyFont="1" applyFill="1" applyBorder="1" applyAlignment="1">
      <alignment horizontal="center"/>
    </xf>
    <xf numFmtId="0" fontId="210" fillId="0" borderId="0" xfId="0" applyFont="1" applyFill="1" applyAlignment="1">
      <alignment horizontal="center"/>
    </xf>
    <xf numFmtId="0" fontId="246" fillId="0" borderId="0" xfId="0" applyFont="1" applyAlignment="1">
      <alignment horizontal="center"/>
    </xf>
    <xf numFmtId="0" fontId="243" fillId="7" borderId="0" xfId="0" applyFont="1" applyFill="1" applyAlignment="1">
      <alignment horizontal="center"/>
    </xf>
    <xf numFmtId="3" fontId="202" fillId="4" borderId="0" xfId="0" applyNumberFormat="1" applyFont="1" applyFill="1" applyBorder="1" applyAlignment="1">
      <alignment horizontal="center" vertical="center"/>
    </xf>
    <xf numFmtId="3" fontId="202" fillId="4" borderId="2" xfId="0" applyNumberFormat="1" applyFont="1" applyFill="1" applyBorder="1" applyAlignment="1">
      <alignment horizontal="center" vertical="center"/>
    </xf>
    <xf numFmtId="1" fontId="202" fillId="4" borderId="2" xfId="0" applyNumberFormat="1" applyFont="1" applyFill="1" applyBorder="1" applyAlignment="1">
      <alignment horizontal="center" vertical="center"/>
    </xf>
    <xf numFmtId="164" fontId="216" fillId="0" borderId="0" xfId="0" applyNumberFormat="1" applyFont="1" applyFill="1" applyBorder="1" applyAlignment="1">
      <alignment horizontal="center" vertical="center" wrapText="1"/>
    </xf>
    <xf numFmtId="1" fontId="9" fillId="0" borderId="0" xfId="0" applyNumberFormat="1" applyFont="1" applyFill="1" applyAlignment="1">
      <alignment horizontal="right"/>
    </xf>
    <xf numFmtId="1" fontId="250" fillId="0" borderId="0" xfId="0" applyNumberFormat="1" applyFont="1" applyFill="1" applyAlignment="1">
      <alignment horizontal="right"/>
    </xf>
    <xf numFmtId="0" fontId="192" fillId="0" borderId="0" xfId="0" applyFont="1" applyFill="1" applyBorder="1" applyAlignment="1">
      <alignment horizontal="right" vertical="top" wrapText="1"/>
    </xf>
    <xf numFmtId="0" fontId="192" fillId="0" borderId="2" xfId="0" applyFont="1" applyFill="1" applyBorder="1" applyAlignment="1">
      <alignment vertical="top" wrapText="1"/>
    </xf>
    <xf numFmtId="164" fontId="251" fillId="0" borderId="0" xfId="0" applyNumberFormat="1" applyFont="1" applyBorder="1" applyAlignment="1">
      <alignment horizontal="center"/>
    </xf>
    <xf numFmtId="164" fontId="252" fillId="0" borderId="0" xfId="0" applyNumberFormat="1" applyFont="1" applyBorder="1" applyAlignment="1">
      <alignment horizontal="center"/>
    </xf>
    <xf numFmtId="164" fontId="247" fillId="0" borderId="0" xfId="0" applyNumberFormat="1" applyFont="1" applyBorder="1" applyAlignment="1">
      <alignment horizontal="center"/>
    </xf>
    <xf numFmtId="0" fontId="253" fillId="0" borderId="2" xfId="0" applyFont="1" applyFill="1" applyBorder="1" applyAlignment="1">
      <alignment vertical="top" wrapText="1"/>
    </xf>
    <xf numFmtId="0" fontId="7" fillId="0" borderId="0" xfId="0" applyFont="1" applyFill="1" applyBorder="1" applyAlignment="1">
      <alignment horizontal="center" vertical="center"/>
    </xf>
    <xf numFmtId="0" fontId="89" fillId="7"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4" fillId="0" borderId="0" xfId="0" applyFont="1" applyFill="1" applyBorder="1" applyAlignment="1">
      <alignment horizontal="right" vertical="top" wrapText="1"/>
    </xf>
    <xf numFmtId="0" fontId="0" fillId="0" borderId="0" xfId="0" applyAlignment="1">
      <alignment vertical="center"/>
    </xf>
    <xf numFmtId="0" fontId="9" fillId="14" borderId="0" xfId="0" applyFont="1" applyFill="1" applyAlignment="1">
      <alignment horizontal="center" vertical="center"/>
    </xf>
    <xf numFmtId="0" fontId="9" fillId="14" borderId="0" xfId="0" applyFont="1" applyFill="1" applyAlignment="1">
      <alignment horizontal="center" vertical="top" wrapText="1"/>
    </xf>
    <xf numFmtId="0" fontId="9" fillId="14" borderId="0" xfId="0" applyFont="1" applyFill="1" applyAlignment="1">
      <alignment horizontal="center"/>
    </xf>
    <xf numFmtId="0" fontId="87" fillId="0" borderId="0" xfId="0" applyFont="1"/>
    <xf numFmtId="0" fontId="227" fillId="0" borderId="0" xfId="0" applyFont="1" applyAlignment="1">
      <alignment vertical="center" wrapText="1"/>
    </xf>
    <xf numFmtId="0" fontId="214" fillId="0" borderId="0" xfId="0" applyFont="1" applyFill="1"/>
    <xf numFmtId="0" fontId="9" fillId="16" borderId="0" xfId="0" applyFont="1" applyFill="1" applyAlignment="1">
      <alignment horizontal="center"/>
    </xf>
    <xf numFmtId="0" fontId="9" fillId="16" borderId="0" xfId="0" applyFont="1" applyFill="1" applyAlignment="1">
      <alignment horizontal="center" vertical="center" wrapText="1"/>
    </xf>
    <xf numFmtId="0" fontId="9" fillId="16" borderId="0" xfId="0" applyFont="1" applyFill="1" applyAlignment="1">
      <alignment horizontal="center" vertical="center"/>
    </xf>
    <xf numFmtId="0" fontId="9" fillId="0" borderId="2" xfId="0" applyFont="1" applyFill="1" applyBorder="1" applyAlignment="1">
      <alignment horizontal="right" vertical="center"/>
    </xf>
    <xf numFmtId="1" fontId="209" fillId="0" borderId="0" xfId="0" applyNumberFormat="1" applyFont="1" applyFill="1" applyBorder="1" applyAlignment="1">
      <alignment horizontal="center" vertical="center"/>
    </xf>
    <xf numFmtId="1" fontId="210" fillId="0" borderId="0" xfId="0" applyNumberFormat="1" applyFont="1" applyFill="1" applyAlignment="1">
      <alignment horizontal="center" vertical="center" wrapText="1"/>
    </xf>
    <xf numFmtId="3" fontId="214" fillId="0" borderId="0" xfId="0" applyNumberFormat="1" applyFont="1" applyFill="1" applyAlignment="1">
      <alignment horizontal="center" vertical="center" wrapText="1"/>
    </xf>
    <xf numFmtId="0" fontId="264" fillId="0" borderId="0" xfId="0" applyFont="1" applyAlignment="1">
      <alignment vertical="center" wrapText="1"/>
    </xf>
    <xf numFmtId="0" fontId="264" fillId="0" borderId="0" xfId="0" applyFont="1" applyAlignment="1">
      <alignment wrapText="1"/>
    </xf>
    <xf numFmtId="0" fontId="65" fillId="7" borderId="0" xfId="0" applyFont="1" applyFill="1" applyBorder="1"/>
    <xf numFmtId="0" fontId="264" fillId="0" borderId="0" xfId="0" applyFont="1" applyFill="1"/>
    <xf numFmtId="0" fontId="9" fillId="18" borderId="0" xfId="0" applyFont="1" applyFill="1" applyAlignment="1">
      <alignment horizontal="center" vertical="center"/>
    </xf>
    <xf numFmtId="0" fontId="245" fillId="16" borderId="0" xfId="0" applyFont="1" applyFill="1" applyAlignment="1">
      <alignment horizontal="center"/>
    </xf>
    <xf numFmtId="0" fontId="164" fillId="16" borderId="0" xfId="0" applyFont="1" applyFill="1" applyAlignment="1">
      <alignment horizontal="center"/>
    </xf>
    <xf numFmtId="0" fontId="225" fillId="16" borderId="0" xfId="0" applyFont="1" applyFill="1" applyAlignment="1">
      <alignment horizontal="center" vertical="center"/>
    </xf>
    <xf numFmtId="0" fontId="7" fillId="16" borderId="0" xfId="0" applyFont="1" applyFill="1" applyAlignment="1">
      <alignment horizontal="center" vertical="center"/>
    </xf>
    <xf numFmtId="0" fontId="9" fillId="18" borderId="0" xfId="0" applyFont="1" applyFill="1" applyAlignment="1">
      <alignment horizontal="center"/>
    </xf>
    <xf numFmtId="0" fontId="245" fillId="18" borderId="0" xfId="0" applyFont="1" applyFill="1" applyAlignment="1">
      <alignment horizontal="center"/>
    </xf>
    <xf numFmtId="0" fontId="265" fillId="0" borderId="0" xfId="0" applyFont="1" applyFill="1" applyAlignment="1">
      <alignment horizontal="right" vertical="center" wrapText="1"/>
    </xf>
    <xf numFmtId="0" fontId="0" fillId="0" borderId="0" xfId="0" applyFill="1" applyBorder="1" applyAlignment="1">
      <alignment vertical="top" wrapText="1"/>
    </xf>
    <xf numFmtId="0" fontId="34" fillId="0" borderId="0" xfId="0" applyFont="1" applyFill="1" applyBorder="1" applyAlignment="1">
      <alignment vertical="top" wrapText="1"/>
    </xf>
    <xf numFmtId="1" fontId="193" fillId="0" borderId="0" xfId="0" applyNumberFormat="1" applyFont="1" applyFill="1" applyAlignment="1">
      <alignment horizontal="center" vertical="center"/>
    </xf>
    <xf numFmtId="0" fontId="34" fillId="0" borderId="0" xfId="0" applyFont="1" applyFill="1" applyBorder="1" applyAlignment="1">
      <alignment horizontal="left" vertical="top" wrapText="1"/>
    </xf>
    <xf numFmtId="0" fontId="32" fillId="0" borderId="0" xfId="0" applyFont="1" applyFill="1" applyBorder="1"/>
    <xf numFmtId="0" fontId="262" fillId="0" borderId="0" xfId="0" applyFont="1" applyFill="1" applyAlignment="1">
      <alignment horizontal="right" vertical="center" wrapText="1"/>
    </xf>
    <xf numFmtId="0" fontId="265" fillId="0" borderId="0" xfId="0" applyFont="1" applyFill="1" applyAlignment="1">
      <alignment horizontal="right" vertical="center" wrapText="1"/>
    </xf>
    <xf numFmtId="0" fontId="265" fillId="0" borderId="0" xfId="0" applyFont="1" applyFill="1" applyAlignment="1">
      <alignment horizontal="center" vertical="center"/>
    </xf>
    <xf numFmtId="0" fontId="265" fillId="0" borderId="0" xfId="0" applyFont="1" applyAlignment="1">
      <alignment horizontal="center" vertical="center"/>
    </xf>
    <xf numFmtId="0" fontId="265" fillId="0" borderId="0" xfId="0" applyFont="1" applyAlignment="1">
      <alignment horizontal="center"/>
    </xf>
    <xf numFmtId="0" fontId="265" fillId="0" borderId="0" xfId="0" applyFont="1" applyFill="1" applyAlignment="1">
      <alignment horizontal="center" vertical="center" wrapText="1"/>
    </xf>
    <xf numFmtId="0" fontId="265" fillId="0" borderId="0" xfId="0" applyFont="1" applyFill="1" applyAlignment="1">
      <alignment horizontal="center"/>
    </xf>
    <xf numFmtId="0" fontId="270" fillId="0" borderId="0" xfId="0" applyFont="1" applyFill="1" applyAlignment="1">
      <alignment horizontal="center"/>
    </xf>
    <xf numFmtId="0" fontId="242" fillId="0" borderId="0" xfId="0" applyFont="1" applyFill="1"/>
    <xf numFmtId="0" fontId="242" fillId="0" borderId="0" xfId="0" applyFont="1" applyFill="1" applyAlignment="1">
      <alignment vertical="center"/>
    </xf>
    <xf numFmtId="0" fontId="242" fillId="0" borderId="0" xfId="0" applyFont="1" applyAlignment="1">
      <alignment horizontal="center" vertical="center"/>
    </xf>
    <xf numFmtId="0" fontId="242" fillId="0" borderId="0" xfId="0" applyFont="1"/>
    <xf numFmtId="0" fontId="242" fillId="0" borderId="0" xfId="0" applyFont="1" applyAlignment="1">
      <alignment vertical="center"/>
    </xf>
    <xf numFmtId="0" fontId="267" fillId="0" borderId="0" xfId="0" applyFont="1" applyAlignment="1">
      <alignment horizontal="center"/>
    </xf>
    <xf numFmtId="0" fontId="232" fillId="16" borderId="0" xfId="0" applyFont="1" applyFill="1" applyAlignment="1">
      <alignment horizontal="center" vertical="center"/>
    </xf>
    <xf numFmtId="0" fontId="7" fillId="16" borderId="0" xfId="0" applyFont="1" applyFill="1" applyAlignment="1">
      <alignment horizontal="center"/>
    </xf>
    <xf numFmtId="0" fontId="267" fillId="0" borderId="0" xfId="0" applyFont="1" applyFill="1" applyAlignment="1">
      <alignment horizontal="center" vertical="center"/>
    </xf>
    <xf numFmtId="0" fontId="268" fillId="0" borderId="0" xfId="0" applyFont="1" applyFill="1" applyAlignment="1">
      <alignment horizontal="center" vertical="center"/>
    </xf>
    <xf numFmtId="0" fontId="11" fillId="0" borderId="0" xfId="0" applyFont="1" applyFill="1" applyAlignment="1">
      <alignment vertical="center"/>
    </xf>
    <xf numFmtId="0" fontId="34" fillId="0" borderId="1" xfId="0" applyFont="1" applyFill="1" applyBorder="1" applyAlignment="1">
      <alignment horizontal="left" vertical="top" wrapText="1"/>
    </xf>
    <xf numFmtId="0" fontId="242" fillId="0" borderId="0" xfId="0" applyFont="1" applyFill="1" applyAlignment="1">
      <alignment horizontal="center"/>
    </xf>
    <xf numFmtId="0" fontId="270" fillId="0" borderId="0" xfId="0" applyFont="1" applyFill="1" applyAlignment="1">
      <alignment horizontal="center" vertical="center"/>
    </xf>
    <xf numFmtId="0" fontId="267" fillId="0" borderId="0" xfId="0" applyFont="1" applyFill="1" applyAlignment="1">
      <alignment horizontal="center"/>
    </xf>
    <xf numFmtId="0" fontId="2" fillId="0" borderId="0" xfId="0" applyFont="1" applyFill="1" applyAlignment="1">
      <alignment vertical="center"/>
    </xf>
    <xf numFmtId="0" fontId="0" fillId="0" borderId="0" xfId="0" applyFill="1" applyBorder="1" applyAlignment="1">
      <alignment vertical="top" wrapText="1"/>
    </xf>
    <xf numFmtId="0" fontId="0" fillId="0" borderId="0" xfId="0" applyAlignment="1"/>
    <xf numFmtId="0" fontId="220" fillId="0" borderId="0" xfId="0" applyFont="1" applyFill="1" applyBorder="1" applyAlignment="1">
      <alignment horizontal="center" vertical="top" wrapText="1"/>
    </xf>
    <xf numFmtId="0" fontId="23" fillId="0" borderId="2" xfId="0" applyFont="1" applyFill="1" applyBorder="1" applyAlignment="1">
      <alignment horizontal="center" vertical="top" wrapText="1"/>
    </xf>
    <xf numFmtId="166" fontId="209" fillId="0" borderId="0" xfId="0" applyNumberFormat="1" applyFont="1" applyBorder="1" applyAlignment="1">
      <alignment horizontal="center" vertical="center" wrapText="1"/>
    </xf>
    <xf numFmtId="166" fontId="209" fillId="0" borderId="0" xfId="0" applyNumberFormat="1" applyFont="1" applyFill="1" applyBorder="1" applyAlignment="1">
      <alignment horizontal="center" vertical="center" wrapText="1"/>
    </xf>
    <xf numFmtId="166" fontId="209" fillId="0" borderId="0" xfId="0" applyNumberFormat="1" applyFont="1" applyFill="1" applyBorder="1" applyAlignment="1">
      <alignment horizontal="center" vertical="center"/>
    </xf>
    <xf numFmtId="0" fontId="11" fillId="0" borderId="0" xfId="0" applyFont="1" applyFill="1" applyAlignment="1">
      <alignment vertical="center" wrapText="1"/>
    </xf>
    <xf numFmtId="0" fontId="55" fillId="0" borderId="0" xfId="0" applyFont="1" applyFill="1" applyAlignment="1">
      <alignment vertical="center"/>
    </xf>
    <xf numFmtId="164" fontId="167" fillId="0" borderId="2" xfId="0" applyNumberFormat="1" applyFont="1" applyFill="1" applyBorder="1" applyAlignment="1">
      <alignment horizontal="center"/>
    </xf>
    <xf numFmtId="0" fontId="168" fillId="0" borderId="0" xfId="0" applyFont="1" applyFill="1" applyAlignment="1">
      <alignment horizontal="center"/>
    </xf>
    <xf numFmtId="0" fontId="110" fillId="0" borderId="0" xfId="0" applyFont="1" applyFill="1" applyBorder="1" applyAlignment="1">
      <alignment horizontal="left" vertical="top" wrapText="1"/>
    </xf>
    <xf numFmtId="164" fontId="11" fillId="0" borderId="1" xfId="0" applyNumberFormat="1" applyFont="1" applyFill="1" applyBorder="1" applyAlignment="1">
      <alignment horizontal="center"/>
    </xf>
    <xf numFmtId="164" fontId="77" fillId="0" borderId="1" xfId="0" applyNumberFormat="1" applyFont="1" applyBorder="1" applyAlignment="1">
      <alignment horizontal="left" vertical="top" wrapText="1"/>
    </xf>
    <xf numFmtId="164" fontId="77" fillId="0" borderId="0" xfId="0" applyNumberFormat="1" applyFont="1" applyBorder="1" applyAlignment="1">
      <alignment horizontal="left" vertical="top" wrapText="1"/>
    </xf>
    <xf numFmtId="3" fontId="3" fillId="0" borderId="0" xfId="0" applyNumberFormat="1" applyFont="1" applyFill="1"/>
    <xf numFmtId="164" fontId="209" fillId="0" borderId="0" xfId="0" applyNumberFormat="1" applyFont="1" applyFill="1" applyAlignment="1">
      <alignment horizontal="center"/>
    </xf>
    <xf numFmtId="0" fontId="264" fillId="0" borderId="0" xfId="0" applyFont="1" applyFill="1" applyAlignment="1">
      <alignment wrapText="1"/>
    </xf>
    <xf numFmtId="0" fontId="0" fillId="19" borderId="1" xfId="0" applyFont="1" applyFill="1" applyBorder="1" applyAlignment="1">
      <alignment horizontal="center" vertical="center"/>
    </xf>
    <xf numFmtId="0" fontId="210" fillId="0" borderId="0" xfId="0" applyFont="1" applyBorder="1"/>
    <xf numFmtId="0" fontId="210" fillId="0" borderId="0" xfId="0" applyFont="1"/>
    <xf numFmtId="0" fontId="210" fillId="0" borderId="0" xfId="0" applyFont="1" applyFill="1"/>
    <xf numFmtId="0" fontId="210" fillId="0" borderId="0" xfId="0" applyFont="1" applyBorder="1" applyAlignment="1">
      <alignment horizontal="center"/>
    </xf>
    <xf numFmtId="0" fontId="29" fillId="0" borderId="0" xfId="0" applyFont="1" applyFill="1" applyAlignment="1">
      <alignment horizontal="center" vertical="top" wrapText="1"/>
    </xf>
    <xf numFmtId="0" fontId="0" fillId="0" borderId="0" xfId="0" applyFill="1" applyBorder="1" applyAlignment="1">
      <alignment vertical="top" wrapText="1"/>
    </xf>
    <xf numFmtId="0" fontId="34" fillId="0" borderId="0" xfId="0" applyFont="1" applyFill="1" applyBorder="1" applyAlignment="1">
      <alignment vertical="top" wrapText="1"/>
    </xf>
    <xf numFmtId="0" fontId="34" fillId="0" borderId="0" xfId="0" applyFont="1" applyFill="1" applyBorder="1" applyAlignment="1">
      <alignment horizontal="right" vertical="top" wrapText="1"/>
    </xf>
    <xf numFmtId="0" fontId="34" fillId="0" borderId="2" xfId="0" applyFont="1" applyFill="1" applyBorder="1" applyAlignment="1">
      <alignment horizontal="right" vertical="top" wrapText="1"/>
    </xf>
    <xf numFmtId="0" fontId="34" fillId="0" borderId="0" xfId="0" applyFont="1" applyBorder="1" applyAlignment="1">
      <alignment horizontal="right" vertical="top" wrapText="1"/>
    </xf>
    <xf numFmtId="0" fontId="34" fillId="0" borderId="1" xfId="0" applyFont="1" applyBorder="1" applyAlignment="1">
      <alignment horizontal="left" vertical="top" wrapText="1"/>
    </xf>
    <xf numFmtId="0" fontId="77" fillId="0" borderId="1" xfId="0" applyFont="1" applyFill="1" applyBorder="1" applyAlignment="1">
      <alignment vertical="top" wrapText="1"/>
    </xf>
    <xf numFmtId="0" fontId="0" fillId="0" borderId="1" xfId="0" applyBorder="1" applyAlignment="1">
      <alignment horizontal="left" vertical="top" wrapText="1"/>
    </xf>
    <xf numFmtId="0" fontId="34" fillId="0" borderId="0" xfId="0" applyFont="1" applyFill="1" applyBorder="1" applyAlignment="1">
      <alignment horizontal="center" vertical="top" wrapText="1"/>
    </xf>
    <xf numFmtId="0" fontId="211" fillId="0" borderId="0" xfId="0" applyFont="1" applyAlignment="1">
      <alignment horizontal="center" vertical="center" wrapText="1"/>
    </xf>
    <xf numFmtId="0" fontId="34" fillId="0" borderId="2" xfId="0" applyFont="1" applyFill="1" applyBorder="1" applyAlignment="1">
      <alignment horizontal="right" vertical="top" wrapText="1"/>
    </xf>
    <xf numFmtId="0" fontId="0" fillId="20" borderId="0" xfId="0" applyFill="1"/>
    <xf numFmtId="0" fontId="227" fillId="20" borderId="0" xfId="0" applyFont="1" applyFill="1" applyAlignment="1">
      <alignment vertical="center" wrapText="1"/>
    </xf>
    <xf numFmtId="0" fontId="159" fillId="20" borderId="0" xfId="0" applyFont="1" applyFill="1" applyAlignment="1">
      <alignment vertical="center" wrapText="1"/>
    </xf>
    <xf numFmtId="0" fontId="20" fillId="20" borderId="0" xfId="0" applyFont="1" applyFill="1" applyAlignment="1">
      <alignment horizontal="center" vertical="top" wrapText="1"/>
    </xf>
    <xf numFmtId="0" fontId="27" fillId="20" borderId="0" xfId="0" applyFont="1" applyFill="1" applyAlignment="1">
      <alignment horizontal="center" vertical="top" wrapText="1"/>
    </xf>
    <xf numFmtId="164" fontId="15" fillId="20" borderId="0" xfId="0" applyNumberFormat="1" applyFont="1" applyFill="1" applyAlignment="1">
      <alignment horizontal="center"/>
    </xf>
    <xf numFmtId="0" fontId="0" fillId="20" borderId="0" xfId="0" applyFill="1" applyAlignment="1">
      <alignment vertical="center" wrapText="1"/>
    </xf>
    <xf numFmtId="0" fontId="0" fillId="20" borderId="0" xfId="0" applyFill="1" applyAlignment="1">
      <alignment vertical="center"/>
    </xf>
    <xf numFmtId="0" fontId="121" fillId="20" borderId="0" xfId="0" applyFont="1" applyFill="1"/>
    <xf numFmtId="0" fontId="272" fillId="0" borderId="0" xfId="0" applyFont="1" applyFill="1" applyAlignment="1">
      <alignment horizontal="center" vertical="top" wrapText="1"/>
    </xf>
    <xf numFmtId="0" fontId="232" fillId="0" borderId="0" xfId="0" applyFont="1" applyFill="1" applyBorder="1" applyAlignment="1">
      <alignment horizontal="right" vertical="center"/>
    </xf>
    <xf numFmtId="0" fontId="202" fillId="0" borderId="0" xfId="0" applyFont="1" applyFill="1" applyBorder="1" applyAlignment="1">
      <alignment horizontal="right" vertical="center"/>
    </xf>
    <xf numFmtId="0" fontId="232" fillId="0" borderId="0" xfId="0" applyFont="1" applyFill="1" applyAlignment="1">
      <alignment horizontal="right" vertical="center"/>
    </xf>
    <xf numFmtId="0" fontId="89" fillId="20" borderId="0" xfId="0" applyFont="1" applyFill="1" applyBorder="1" applyAlignment="1">
      <alignment vertical="center"/>
    </xf>
    <xf numFmtId="0" fontId="196" fillId="0" borderId="0" xfId="0" applyFont="1" applyFill="1" applyBorder="1" applyAlignment="1">
      <alignment horizontal="right" vertical="top" wrapText="1"/>
    </xf>
    <xf numFmtId="0" fontId="34" fillId="0" borderId="1" xfId="0" applyFont="1" applyFill="1" applyBorder="1" applyAlignment="1">
      <alignment vertical="top" wrapText="1"/>
    </xf>
    <xf numFmtId="0" fontId="194" fillId="0" borderId="0" xfId="0" applyFont="1" applyFill="1" applyBorder="1" applyAlignment="1">
      <alignment vertical="top" wrapText="1"/>
    </xf>
    <xf numFmtId="0" fontId="95" fillId="0" borderId="1" xfId="0" applyFont="1" applyFill="1" applyBorder="1" applyAlignment="1">
      <alignment horizontal="center" vertical="top" wrapText="1"/>
    </xf>
    <xf numFmtId="0" fontId="34" fillId="0" borderId="0" xfId="0" applyFont="1" applyFill="1" applyAlignment="1">
      <alignment vertical="top" wrapText="1"/>
    </xf>
    <xf numFmtId="165" fontId="219" fillId="0" borderId="0" xfId="0" applyNumberFormat="1" applyFont="1" applyFill="1" applyBorder="1" applyAlignment="1">
      <alignment horizontal="center" vertical="center"/>
    </xf>
    <xf numFmtId="0" fontId="91" fillId="0" borderId="0" xfId="0" applyFont="1" applyFill="1" applyAlignment="1">
      <alignment vertical="top" wrapText="1"/>
    </xf>
    <xf numFmtId="165" fontId="209" fillId="0" borderId="0" xfId="0" applyNumberFormat="1" applyFont="1" applyFill="1" applyBorder="1" applyAlignment="1">
      <alignment horizontal="center" vertical="top" wrapText="1"/>
    </xf>
    <xf numFmtId="1" fontId="193" fillId="0" borderId="1" xfId="0" applyNumberFormat="1" applyFont="1" applyFill="1" applyBorder="1" applyAlignment="1">
      <alignment horizontal="center" vertical="center"/>
    </xf>
    <xf numFmtId="3" fontId="193" fillId="0" borderId="0" xfId="0" applyNumberFormat="1" applyFont="1" applyFill="1" applyBorder="1" applyAlignment="1">
      <alignment horizontal="center" vertical="center"/>
    </xf>
    <xf numFmtId="164" fontId="105" fillId="0" borderId="0" xfId="0" applyNumberFormat="1" applyFont="1" applyFill="1" applyBorder="1" applyAlignment="1">
      <alignment horizontal="center" vertical="center" wrapText="1"/>
    </xf>
    <xf numFmtId="0" fontId="193" fillId="0" borderId="0" xfId="0" applyFont="1" applyFill="1" applyBorder="1" applyAlignment="1">
      <alignment horizontal="center" vertical="center"/>
    </xf>
    <xf numFmtId="0" fontId="22" fillId="0" borderId="1" xfId="0" applyFont="1" applyFill="1" applyBorder="1" applyAlignment="1">
      <alignment horizontal="center" vertical="top" wrapText="1"/>
    </xf>
    <xf numFmtId="0" fontId="48" fillId="0" borderId="0" xfId="0" applyFont="1" applyFill="1" applyBorder="1" applyAlignment="1">
      <alignment horizontal="left" vertical="top" wrapText="1"/>
    </xf>
    <xf numFmtId="0" fontId="123" fillId="0" borderId="0" xfId="0" applyFont="1" applyFill="1" applyAlignment="1">
      <alignment horizontal="left" vertical="top" wrapText="1"/>
    </xf>
    <xf numFmtId="164" fontId="231" fillId="0" borderId="0" xfId="0" applyNumberFormat="1" applyFont="1" applyFill="1" applyAlignment="1">
      <alignment horizontal="center" vertical="center"/>
    </xf>
    <xf numFmtId="0" fontId="215" fillId="0" borderId="0" xfId="0" applyFont="1" applyFill="1" applyBorder="1" applyAlignment="1">
      <alignment horizontal="center" vertical="center"/>
    </xf>
    <xf numFmtId="164" fontId="178" fillId="0" borderId="0" xfId="0" applyNumberFormat="1" applyFont="1" applyFill="1" applyAlignment="1">
      <alignment horizontal="center"/>
    </xf>
    <xf numFmtId="164" fontId="167" fillId="0" borderId="0" xfId="0" applyNumberFormat="1" applyFont="1" applyFill="1" applyBorder="1" applyAlignment="1">
      <alignment horizontal="center"/>
    </xf>
    <xf numFmtId="0" fontId="168" fillId="0" borderId="2" xfId="0" applyFont="1" applyFill="1" applyBorder="1" applyAlignment="1">
      <alignment horizontal="center"/>
    </xf>
    <xf numFmtId="164" fontId="167" fillId="0" borderId="0" xfId="0" applyNumberFormat="1" applyFont="1" applyFill="1" applyAlignment="1">
      <alignment horizontal="center"/>
    </xf>
    <xf numFmtId="0" fontId="34" fillId="0" borderId="2" xfId="0" applyFont="1" applyFill="1" applyBorder="1" applyAlignment="1">
      <alignment horizontal="center" vertical="top" wrapText="1"/>
    </xf>
    <xf numFmtId="0" fontId="195" fillId="0" borderId="0" xfId="0" applyFont="1" applyFill="1" applyBorder="1" applyAlignment="1">
      <alignment vertical="top" wrapText="1"/>
    </xf>
    <xf numFmtId="164" fontId="209" fillId="0" borderId="0" xfId="0" applyNumberFormat="1" applyFont="1" applyFill="1" applyBorder="1" applyAlignment="1">
      <alignment horizontal="center"/>
    </xf>
    <xf numFmtId="0" fontId="271" fillId="0" borderId="1" xfId="0" applyFont="1" applyBorder="1" applyAlignment="1">
      <alignment horizontal="center"/>
    </xf>
    <xf numFmtId="0" fontId="195" fillId="0" borderId="0" xfId="0" applyFont="1" applyFill="1" applyAlignment="1">
      <alignment vertical="top" wrapText="1"/>
    </xf>
    <xf numFmtId="0" fontId="214" fillId="0" borderId="1" xfId="0" applyFont="1" applyFill="1" applyBorder="1" applyAlignment="1">
      <alignment horizontal="center" vertical="center"/>
    </xf>
    <xf numFmtId="0" fontId="166" fillId="0" borderId="0" xfId="0" applyFont="1" applyFill="1" applyBorder="1" applyAlignment="1">
      <alignment horizontal="center"/>
    </xf>
    <xf numFmtId="0" fontId="34" fillId="0" borderId="0" xfId="2" applyFont="1" applyFill="1" applyBorder="1" applyAlignment="1">
      <alignment vertical="top" wrapText="1"/>
    </xf>
    <xf numFmtId="165" fontId="209" fillId="0" borderId="1" xfId="0" applyNumberFormat="1" applyFont="1" applyFill="1" applyBorder="1" applyAlignment="1">
      <alignment horizontal="center"/>
    </xf>
    <xf numFmtId="164" fontId="209" fillId="0" borderId="1" xfId="0" applyNumberFormat="1" applyFont="1" applyFill="1" applyBorder="1" applyAlignment="1">
      <alignment horizontal="center"/>
    </xf>
    <xf numFmtId="0" fontId="214" fillId="0" borderId="0" xfId="0" applyFont="1" applyFill="1" applyAlignment="1">
      <alignment horizontal="center" vertical="center"/>
    </xf>
    <xf numFmtId="0" fontId="17" fillId="2" borderId="0" xfId="0" applyFont="1" applyFill="1" applyBorder="1" applyAlignment="1">
      <alignment horizontal="center" vertical="top" wrapText="1"/>
    </xf>
    <xf numFmtId="164" fontId="169" fillId="2" borderId="0" xfId="0" applyNumberFormat="1" applyFont="1" applyFill="1" applyBorder="1" applyAlignment="1">
      <alignment horizontal="center"/>
    </xf>
    <xf numFmtId="164" fontId="167" fillId="0" borderId="3" xfId="0" applyNumberFormat="1" applyFont="1" applyBorder="1" applyAlignment="1">
      <alignment horizontal="center"/>
    </xf>
    <xf numFmtId="164" fontId="170" fillId="0" borderId="0" xfId="0" applyNumberFormat="1" applyFont="1" applyFill="1" applyAlignment="1">
      <alignment horizontal="center"/>
    </xf>
    <xf numFmtId="164" fontId="170" fillId="0" borderId="2" xfId="0" applyNumberFormat="1" applyFont="1" applyFill="1" applyBorder="1" applyAlignment="1">
      <alignment horizontal="center" vertical="center"/>
    </xf>
    <xf numFmtId="3" fontId="22" fillId="4" borderId="0" xfId="0" applyNumberFormat="1" applyFont="1" applyFill="1" applyBorder="1" applyAlignment="1">
      <alignment horizontal="center"/>
    </xf>
    <xf numFmtId="0" fontId="173" fillId="0" borderId="1" xfId="0" applyFont="1" applyFill="1" applyBorder="1" applyAlignment="1">
      <alignment horizontal="center"/>
    </xf>
    <xf numFmtId="0" fontId="173" fillId="0" borderId="2" xfId="0" applyFont="1" applyFill="1" applyBorder="1" applyAlignment="1">
      <alignment horizontal="center"/>
    </xf>
    <xf numFmtId="0" fontId="173" fillId="0" borderId="0" xfId="0" applyFont="1" applyFill="1" applyAlignment="1">
      <alignment horizontal="center"/>
    </xf>
    <xf numFmtId="0" fontId="32" fillId="0" borderId="0" xfId="0" applyFont="1" applyFill="1" applyAlignment="1">
      <alignment horizontal="left" vertical="top" wrapText="1"/>
    </xf>
    <xf numFmtId="3" fontId="164" fillId="14" borderId="2" xfId="0" applyNumberFormat="1" applyFont="1" applyFill="1" applyBorder="1" applyAlignment="1">
      <alignment horizontal="center"/>
    </xf>
    <xf numFmtId="3" fontId="74" fillId="0" borderId="0" xfId="0" applyNumberFormat="1" applyFont="1" applyFill="1" applyBorder="1" applyAlignment="1">
      <alignment horizontal="center"/>
    </xf>
    <xf numFmtId="0" fontId="8" fillId="0" borderId="0" xfId="0" applyFont="1" applyFill="1" applyAlignment="1">
      <alignment horizontal="center"/>
    </xf>
    <xf numFmtId="0" fontId="59" fillId="0" borderId="0" xfId="0" applyFont="1" applyFill="1" applyAlignment="1">
      <alignment horizontal="center"/>
    </xf>
    <xf numFmtId="3" fontId="8" fillId="0" borderId="0" xfId="0" applyNumberFormat="1" applyFont="1" applyFill="1" applyAlignment="1">
      <alignment horizontal="center"/>
    </xf>
    <xf numFmtId="3" fontId="77" fillId="0" borderId="0" xfId="0" applyNumberFormat="1" applyFont="1" applyFill="1" applyBorder="1" applyAlignment="1">
      <alignment horizontal="right" vertical="top" wrapText="1"/>
    </xf>
    <xf numFmtId="0" fontId="42" fillId="0" borderId="0" xfId="0" applyFont="1" applyFill="1" applyBorder="1" applyAlignment="1">
      <alignment horizontal="center"/>
    </xf>
    <xf numFmtId="0" fontId="113" fillId="0" borderId="0" xfId="0" applyFont="1" applyBorder="1" applyAlignment="1">
      <alignment horizontal="center" vertical="center"/>
    </xf>
    <xf numFmtId="0" fontId="127" fillId="0" borderId="1" xfId="0" applyFont="1" applyBorder="1"/>
    <xf numFmtId="0" fontId="0" fillId="0" borderId="1" xfId="0" applyFill="1" applyBorder="1" applyAlignment="1">
      <alignment vertical="center" wrapText="1"/>
    </xf>
    <xf numFmtId="0" fontId="34" fillId="0" borderId="1" xfId="0" applyFont="1" applyBorder="1" applyAlignment="1">
      <alignment horizontal="right" vertical="top" wrapText="1"/>
    </xf>
    <xf numFmtId="0" fontId="22" fillId="0" borderId="1" xfId="0" applyFont="1" applyBorder="1" applyAlignment="1">
      <alignment horizontal="left" vertical="top" wrapText="1"/>
    </xf>
    <xf numFmtId="164" fontId="193" fillId="0" borderId="1" xfId="0" applyNumberFormat="1" applyFont="1" applyBorder="1" applyAlignment="1">
      <alignment horizontal="center" vertical="center"/>
    </xf>
    <xf numFmtId="164" fontId="193" fillId="0" borderId="1" xfId="0" applyNumberFormat="1" applyFont="1" applyFill="1" applyBorder="1" applyAlignment="1">
      <alignment horizontal="center" vertical="center"/>
    </xf>
    <xf numFmtId="0" fontId="110" fillId="0" borderId="1" xfId="0" applyFont="1" applyBorder="1" applyAlignment="1">
      <alignment horizontal="left" vertical="top" wrapText="1"/>
    </xf>
    <xf numFmtId="164" fontId="13" fillId="0" borderId="0" xfId="0" applyNumberFormat="1" applyFont="1" applyFill="1" applyBorder="1" applyAlignment="1">
      <alignment horizontal="center"/>
    </xf>
    <xf numFmtId="0" fontId="0" fillId="0" borderId="0" xfId="0" applyFill="1" applyBorder="1" applyAlignment="1">
      <alignment vertical="center" wrapText="1"/>
    </xf>
    <xf numFmtId="0" fontId="181" fillId="0" borderId="2" xfId="0" applyFont="1" applyFill="1" applyBorder="1" applyAlignment="1">
      <alignment horizontal="right" vertical="top"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165" fontId="193" fillId="0" borderId="0" xfId="0" applyNumberFormat="1" applyFont="1" applyFill="1" applyBorder="1" applyAlignment="1">
      <alignment horizontal="center" vertical="center"/>
    </xf>
    <xf numFmtId="164" fontId="73" fillId="0" borderId="0" xfId="0" applyNumberFormat="1" applyFont="1" applyFill="1" applyBorder="1" applyAlignment="1">
      <alignment horizontal="center"/>
    </xf>
    <xf numFmtId="0" fontId="8" fillId="0" borderId="0" xfId="0" applyFont="1" applyFill="1" applyBorder="1" applyAlignment="1">
      <alignment horizontal="center" vertical="center"/>
    </xf>
    <xf numFmtId="0" fontId="37" fillId="0" borderId="0" xfId="0" applyFont="1" applyFill="1" applyBorder="1" applyAlignment="1">
      <alignment vertical="top"/>
    </xf>
    <xf numFmtId="0" fontId="35" fillId="0" borderId="0" xfId="0" applyFont="1" applyFill="1" applyBorder="1" applyAlignment="1">
      <alignment vertical="top"/>
    </xf>
    <xf numFmtId="0" fontId="94" fillId="0" borderId="1" xfId="0" applyFont="1" applyFill="1" applyBorder="1" applyAlignment="1">
      <alignment horizontal="center"/>
    </xf>
    <xf numFmtId="0" fontId="94" fillId="0" borderId="2" xfId="0" applyFont="1" applyFill="1" applyBorder="1" applyAlignment="1">
      <alignment horizontal="center"/>
    </xf>
    <xf numFmtId="0" fontId="34" fillId="0" borderId="1" xfId="0" applyFont="1" applyFill="1" applyBorder="1" applyAlignment="1">
      <alignment vertical="top" wrapText="1"/>
    </xf>
    <xf numFmtId="0" fontId="86" fillId="20" borderId="0" xfId="0" applyFont="1" applyFill="1" applyBorder="1" applyAlignment="1">
      <alignment horizontal="center"/>
    </xf>
    <xf numFmtId="0" fontId="33" fillId="0" borderId="1" xfId="0" applyFont="1" applyBorder="1" applyAlignment="1">
      <alignment vertical="top" wrapText="1"/>
    </xf>
    <xf numFmtId="0" fontId="48" fillId="0" borderId="0" xfId="0" applyFont="1" applyFill="1" applyBorder="1" applyAlignment="1">
      <alignment horizontal="right" vertical="top" wrapText="1"/>
    </xf>
    <xf numFmtId="0" fontId="182" fillId="0" borderId="2" xfId="0" applyFont="1" applyFill="1" applyBorder="1" applyAlignment="1">
      <alignment horizontal="center" vertical="top" wrapText="1"/>
    </xf>
    <xf numFmtId="2" fontId="209" fillId="0" borderId="0" xfId="0" applyNumberFormat="1" applyFont="1" applyFill="1" applyBorder="1" applyAlignment="1">
      <alignment horizontal="center" vertical="center"/>
    </xf>
    <xf numFmtId="0" fontId="211" fillId="0" borderId="0" xfId="0" applyFont="1" applyFill="1" applyAlignment="1">
      <alignment horizontal="right"/>
    </xf>
    <xf numFmtId="0" fontId="149" fillId="0" borderId="1" xfId="0" applyFont="1" applyFill="1" applyBorder="1"/>
    <xf numFmtId="0" fontId="48" fillId="0" borderId="0" xfId="0" applyFont="1" applyFill="1" applyBorder="1" applyAlignment="1">
      <alignment horizontal="center" vertical="top" wrapText="1"/>
    </xf>
    <xf numFmtId="165" fontId="216" fillId="0" borderId="0" xfId="0" applyNumberFormat="1" applyFont="1" applyFill="1" applyBorder="1" applyAlignment="1">
      <alignment horizontal="center" vertical="center"/>
    </xf>
    <xf numFmtId="1" fontId="216" fillId="0" borderId="0" xfId="0" applyNumberFormat="1" applyFont="1" applyFill="1" applyBorder="1" applyAlignment="1">
      <alignment horizontal="center" vertical="center"/>
    </xf>
    <xf numFmtId="3" fontId="193" fillId="0" borderId="1" xfId="0" applyNumberFormat="1" applyFont="1" applyFill="1" applyBorder="1" applyAlignment="1">
      <alignment horizontal="center" vertical="center"/>
    </xf>
    <xf numFmtId="0" fontId="210" fillId="0" borderId="0" xfId="0" applyFont="1" applyFill="1" applyBorder="1" applyAlignment="1">
      <alignment horizontal="center" vertical="center"/>
    </xf>
    <xf numFmtId="0" fontId="214" fillId="0" borderId="0" xfId="0" applyFont="1" applyFill="1" applyAlignment="1">
      <alignment horizontal="center"/>
    </xf>
    <xf numFmtId="165" fontId="217" fillId="0" borderId="0" xfId="0" applyNumberFormat="1" applyFont="1" applyFill="1" applyBorder="1" applyAlignment="1">
      <alignment horizontal="center" vertical="center"/>
    </xf>
    <xf numFmtId="164" fontId="217" fillId="0" borderId="0" xfId="0" applyNumberFormat="1" applyFont="1" applyFill="1" applyBorder="1" applyAlignment="1">
      <alignment horizontal="center" vertical="center"/>
    </xf>
    <xf numFmtId="1" fontId="214" fillId="0" borderId="1" xfId="0" applyNumberFormat="1" applyFont="1" applyFill="1" applyBorder="1" applyAlignment="1">
      <alignment horizontal="center" vertical="center"/>
    </xf>
    <xf numFmtId="0" fontId="214" fillId="0" borderId="1" xfId="0" applyFont="1" applyFill="1" applyBorder="1" applyAlignment="1">
      <alignment horizontal="center"/>
    </xf>
    <xf numFmtId="3" fontId="214" fillId="0" borderId="1" xfId="0" applyNumberFormat="1" applyFont="1" applyFill="1" applyBorder="1" applyAlignment="1">
      <alignment horizontal="center" vertical="center"/>
    </xf>
    <xf numFmtId="164" fontId="154" fillId="0" borderId="0" xfId="0" applyNumberFormat="1" applyFont="1" applyFill="1" applyBorder="1" applyAlignment="1">
      <alignment horizontal="left" vertical="top" wrapText="1"/>
    </xf>
    <xf numFmtId="164" fontId="154" fillId="0" borderId="3" xfId="0" applyNumberFormat="1" applyFont="1" applyBorder="1" applyAlignment="1">
      <alignment horizontal="left" vertical="top" wrapText="1"/>
    </xf>
    <xf numFmtId="0" fontId="110" fillId="0" borderId="3" xfId="0" applyFont="1" applyBorder="1" applyAlignment="1">
      <alignment horizontal="left" vertical="top" wrapText="1"/>
    </xf>
    <xf numFmtId="0" fontId="0" fillId="16" borderId="0" xfId="0" applyFill="1" applyAlignment="1">
      <alignment horizontal="center"/>
    </xf>
    <xf numFmtId="0" fontId="52" fillId="0" borderId="0" xfId="0" applyFont="1" applyAlignment="1">
      <alignment horizontal="center"/>
    </xf>
    <xf numFmtId="0" fontId="264" fillId="0" borderId="0" xfId="0" applyFont="1" applyFill="1" applyAlignment="1">
      <alignment horizontal="center"/>
    </xf>
    <xf numFmtId="0" fontId="92" fillId="0" borderId="0" xfId="0" applyFont="1" applyAlignment="1">
      <alignment horizontal="center"/>
    </xf>
    <xf numFmtId="0" fontId="0" fillId="14" borderId="0" xfId="0" applyFill="1" applyAlignment="1">
      <alignment horizontal="center"/>
    </xf>
    <xf numFmtId="0" fontId="0" fillId="0" borderId="0" xfId="0" applyFont="1" applyAlignment="1">
      <alignment horizontal="center"/>
    </xf>
    <xf numFmtId="0" fontId="0" fillId="16" borderId="0" xfId="0" applyFont="1" applyFill="1" applyAlignment="1">
      <alignment horizontal="center"/>
    </xf>
    <xf numFmtId="0" fontId="2" fillId="14" borderId="0" xfId="0" applyFont="1" applyFill="1" applyAlignment="1">
      <alignment horizontal="center" vertical="center"/>
    </xf>
    <xf numFmtId="1" fontId="92" fillId="16" borderId="0" xfId="0" applyNumberFormat="1" applyFont="1" applyFill="1" applyAlignment="1">
      <alignment horizontal="center" vertical="center"/>
    </xf>
    <xf numFmtId="0" fontId="275" fillId="16" borderId="0" xfId="0" applyFont="1" applyFill="1" applyAlignment="1">
      <alignment horizontal="center"/>
    </xf>
    <xf numFmtId="164" fontId="184" fillId="0" borderId="0" xfId="0" applyNumberFormat="1" applyFont="1" applyFill="1" applyAlignment="1">
      <alignment horizontal="center"/>
    </xf>
    <xf numFmtId="165" fontId="26" fillId="0" borderId="0" xfId="0" applyNumberFormat="1" applyFont="1" applyFill="1" applyAlignment="1">
      <alignment horizontal="center"/>
    </xf>
    <xf numFmtId="165" fontId="184" fillId="0" borderId="0" xfId="0" applyNumberFormat="1" applyFont="1" applyFill="1" applyAlignment="1">
      <alignment horizontal="center"/>
    </xf>
    <xf numFmtId="1" fontId="202" fillId="0" borderId="0" xfId="0" applyNumberFormat="1" applyFont="1" applyFill="1" applyAlignment="1">
      <alignment horizontal="right"/>
    </xf>
    <xf numFmtId="165" fontId="75"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xf>
    <xf numFmtId="0" fontId="89" fillId="16" borderId="0" xfId="0" applyFont="1" applyFill="1" applyAlignment="1">
      <alignment horizontal="center"/>
    </xf>
    <xf numFmtId="0" fontId="211" fillId="0" borderId="0" xfId="0" applyFont="1" applyFill="1" applyAlignment="1">
      <alignment horizontal="center" wrapText="1"/>
    </xf>
    <xf numFmtId="0" fontId="202" fillId="0" borderId="0" xfId="0" applyFont="1" applyFill="1" applyAlignment="1">
      <alignment horizontal="center" wrapText="1"/>
    </xf>
    <xf numFmtId="0" fontId="276" fillId="18" borderId="0" xfId="0" applyFont="1" applyFill="1" applyAlignment="1">
      <alignment horizontal="center" vertical="center"/>
    </xf>
    <xf numFmtId="164" fontId="7" fillId="0" borderId="0" xfId="0" applyNumberFormat="1" applyFont="1" applyAlignment="1">
      <alignment horizontal="center" vertical="center" wrapText="1"/>
    </xf>
    <xf numFmtId="0" fontId="0" fillId="18" borderId="0" xfId="0" applyFill="1" applyAlignment="1">
      <alignment horizontal="center" vertical="center"/>
    </xf>
    <xf numFmtId="0" fontId="265" fillId="16" borderId="0" xfId="0" applyFont="1" applyFill="1" applyAlignment="1">
      <alignment horizontal="center" vertical="center"/>
    </xf>
    <xf numFmtId="0" fontId="265" fillId="14" borderId="0" xfId="0" applyFont="1" applyFill="1" applyAlignment="1">
      <alignment horizontal="center" vertical="center"/>
    </xf>
    <xf numFmtId="0" fontId="265" fillId="18" borderId="0" xfId="0" applyFont="1" applyFill="1" applyAlignment="1">
      <alignment horizontal="center" vertical="center"/>
    </xf>
    <xf numFmtId="0" fontId="242" fillId="16" borderId="0" xfId="0" applyFont="1" applyFill="1" applyAlignment="1">
      <alignment horizontal="center" vertical="center"/>
    </xf>
    <xf numFmtId="0" fontId="0" fillId="16" borderId="0" xfId="0" applyFont="1" applyFill="1" applyAlignment="1">
      <alignment horizontal="center" vertical="center"/>
    </xf>
    <xf numFmtId="0" fontId="17" fillId="9" borderId="0" xfId="0" applyFont="1" applyFill="1" applyBorder="1" applyAlignment="1">
      <alignment horizontal="center" vertical="top" wrapText="1"/>
    </xf>
    <xf numFmtId="164" fontId="4" fillId="3" borderId="0" xfId="0" applyNumberFormat="1" applyFont="1" applyFill="1" applyBorder="1" applyAlignment="1">
      <alignment horizontal="center" vertical="center"/>
    </xf>
    <xf numFmtId="0" fontId="0" fillId="16" borderId="0" xfId="0" applyFill="1" applyAlignment="1">
      <alignment horizontal="center" vertical="center"/>
    </xf>
    <xf numFmtId="0" fontId="0" fillId="14" borderId="0" xfId="0" applyFill="1" applyAlignment="1">
      <alignment horizontal="center" vertical="center"/>
    </xf>
    <xf numFmtId="0" fontId="2" fillId="16" borderId="0" xfId="0" applyFont="1" applyFill="1" applyAlignment="1">
      <alignment horizontal="center"/>
    </xf>
    <xf numFmtId="0" fontId="0" fillId="18" borderId="0" xfId="0" applyFill="1" applyAlignment="1">
      <alignment horizontal="center"/>
    </xf>
    <xf numFmtId="0" fontId="277" fillId="16" borderId="0" xfId="0" applyFont="1" applyFill="1" applyAlignment="1">
      <alignment horizontal="center"/>
    </xf>
    <xf numFmtId="0" fontId="277" fillId="18" borderId="0" xfId="0" applyFont="1" applyFill="1" applyAlignment="1">
      <alignment horizontal="center"/>
    </xf>
    <xf numFmtId="164" fontId="29" fillId="0" borderId="0" xfId="0" applyNumberFormat="1" applyFont="1" applyFill="1" applyBorder="1" applyAlignment="1">
      <alignment horizontal="left" vertical="top" wrapText="1"/>
    </xf>
    <xf numFmtId="0" fontId="34" fillId="0" borderId="2" xfId="0" applyFont="1" applyFill="1" applyBorder="1" applyAlignment="1">
      <alignment horizontal="right" vertical="top" wrapText="1"/>
    </xf>
    <xf numFmtId="0" fontId="0" fillId="0" borderId="0" xfId="0" applyFill="1" applyAlignment="1">
      <alignment vertical="top" wrapText="1"/>
    </xf>
    <xf numFmtId="0" fontId="109" fillId="0" borderId="0" xfId="0" applyFont="1" applyFill="1" applyAlignment="1">
      <alignment vertical="top" wrapText="1"/>
    </xf>
    <xf numFmtId="0" fontId="98" fillId="0" borderId="0" xfId="0" applyFont="1" applyFill="1" applyAlignment="1">
      <alignment vertical="top" wrapText="1"/>
    </xf>
    <xf numFmtId="0" fontId="36" fillId="0" borderId="0" xfId="0" applyFont="1" applyFill="1" applyBorder="1" applyAlignment="1">
      <alignment vertical="top" wrapText="1"/>
    </xf>
    <xf numFmtId="0" fontId="34" fillId="0" borderId="0" xfId="0" applyFont="1" applyFill="1" applyBorder="1" applyAlignment="1">
      <alignment horizontal="right" vertical="top" wrapText="1"/>
    </xf>
    <xf numFmtId="0" fontId="34" fillId="0" borderId="2" xfId="0" applyFont="1" applyFill="1" applyBorder="1" applyAlignment="1">
      <alignment horizontal="right" vertical="top" wrapText="1"/>
    </xf>
    <xf numFmtId="0" fontId="211" fillId="0" borderId="0" xfId="0" applyFont="1" applyAlignment="1">
      <alignment horizontal="right"/>
    </xf>
    <xf numFmtId="0" fontId="0" fillId="0" borderId="0" xfId="0" applyFill="1" applyAlignment="1">
      <alignment horizontal="left" vertical="top" wrapText="1"/>
    </xf>
    <xf numFmtId="0" fontId="0" fillId="0" borderId="0" xfId="0" applyFill="1" applyBorder="1" applyAlignment="1">
      <alignment vertical="top" wrapText="1"/>
    </xf>
    <xf numFmtId="0" fontId="34" fillId="0" borderId="0" xfId="0" applyFont="1" applyAlignment="1">
      <alignment vertical="top" wrapText="1"/>
    </xf>
    <xf numFmtId="0" fontId="208" fillId="0" borderId="0" xfId="0" applyFont="1" applyFill="1" applyBorder="1" applyAlignment="1">
      <alignment horizontal="right" vertical="top" wrapText="1"/>
    </xf>
    <xf numFmtId="0" fontId="36" fillId="0" borderId="0" xfId="0" applyFont="1" applyFill="1" applyBorder="1" applyAlignment="1">
      <alignment vertical="top" wrapText="1"/>
    </xf>
    <xf numFmtId="0" fontId="34" fillId="0" borderId="2" xfId="0" applyFont="1" applyBorder="1" applyAlignment="1">
      <alignment vertical="top" wrapText="1"/>
    </xf>
    <xf numFmtId="0" fontId="34" fillId="0" borderId="2" xfId="0" applyFont="1" applyFill="1" applyBorder="1" applyAlignment="1">
      <alignment vertical="top" wrapText="1"/>
    </xf>
    <xf numFmtId="0" fontId="34" fillId="0" borderId="2" xfId="0" applyFont="1" applyFill="1" applyBorder="1" applyAlignment="1">
      <alignment horizontal="right" vertical="top" wrapText="1"/>
    </xf>
    <xf numFmtId="0" fontId="34" fillId="0" borderId="0" xfId="2" applyFont="1" applyFill="1" applyAlignment="1">
      <alignment vertical="top" wrapText="1"/>
    </xf>
    <xf numFmtId="0" fontId="284" fillId="0" borderId="1" xfId="0" applyFont="1" applyFill="1" applyBorder="1" applyAlignment="1">
      <alignment horizontal="left" vertical="top" wrapText="1"/>
    </xf>
    <xf numFmtId="0" fontId="29" fillId="0" borderId="0" xfId="0" applyFont="1" applyAlignment="1">
      <alignment horizontal="left" vertical="top" wrapText="1"/>
    </xf>
    <xf numFmtId="0" fontId="285" fillId="0" borderId="0" xfId="0" applyFont="1" applyAlignment="1">
      <alignment vertical="top" wrapText="1"/>
    </xf>
    <xf numFmtId="0" fontId="208" fillId="0" borderId="0" xfId="0" applyFont="1" applyFill="1" applyBorder="1" applyAlignment="1">
      <alignment horizontal="right" vertical="top" wrapText="1"/>
    </xf>
    <xf numFmtId="0" fontId="89" fillId="0" borderId="0" xfId="0" applyFont="1" applyFill="1" applyBorder="1"/>
    <xf numFmtId="0" fontId="288" fillId="0" borderId="0" xfId="0" applyFont="1" applyFill="1" applyBorder="1" applyAlignment="1">
      <alignment horizontal="left" vertical="top" wrapText="1"/>
    </xf>
    <xf numFmtId="3" fontId="214" fillId="0" borderId="1" xfId="0" applyNumberFormat="1" applyFont="1" applyFill="1" applyBorder="1" applyAlignment="1">
      <alignment horizontal="center" vertical="top" wrapText="1"/>
    </xf>
    <xf numFmtId="3" fontId="214" fillId="0" borderId="2" xfId="0" applyNumberFormat="1" applyFont="1" applyFill="1" applyBorder="1" applyAlignment="1">
      <alignment horizontal="center" vertical="top" wrapText="1"/>
    </xf>
    <xf numFmtId="0" fontId="196" fillId="0" borderId="0" xfId="0" applyFont="1" applyFill="1" applyBorder="1" applyAlignment="1">
      <alignment horizontal="center" vertical="top" wrapText="1"/>
    </xf>
    <xf numFmtId="164" fontId="193" fillId="0" borderId="0" xfId="0" applyNumberFormat="1" applyFont="1" applyFill="1" applyBorder="1" applyAlignment="1">
      <alignment horizontal="center"/>
    </xf>
    <xf numFmtId="164" fontId="196" fillId="0" borderId="0" xfId="0" applyNumberFormat="1" applyFont="1" applyFill="1" applyBorder="1" applyAlignment="1">
      <alignment horizontal="right" vertical="top" wrapText="1"/>
    </xf>
    <xf numFmtId="0" fontId="198" fillId="0" borderId="0" xfId="0" applyFont="1" applyFill="1" applyBorder="1" applyAlignment="1">
      <alignment horizontal="right" vertical="top" wrapText="1"/>
    </xf>
    <xf numFmtId="0" fontId="274" fillId="0" borderId="1" xfId="0" applyFont="1" applyBorder="1" applyAlignment="1">
      <alignment horizontal="center" vertical="top" wrapText="1"/>
    </xf>
    <xf numFmtId="0" fontId="274" fillId="0" borderId="0" xfId="0" applyFont="1" applyBorder="1" applyAlignment="1">
      <alignment horizontal="center" vertical="top" wrapText="1"/>
    </xf>
    <xf numFmtId="0" fontId="274" fillId="0" borderId="0" xfId="0" applyFont="1" applyFill="1" applyBorder="1" applyAlignment="1">
      <alignment horizontal="center" vertical="top" wrapText="1"/>
    </xf>
    <xf numFmtId="0" fontId="274" fillId="0" borderId="1" xfId="0" applyFont="1" applyFill="1" applyBorder="1" applyAlignment="1">
      <alignment horizontal="center" vertical="top" wrapText="1"/>
    </xf>
    <xf numFmtId="0" fontId="274" fillId="0" borderId="0" xfId="0" applyFont="1" applyFill="1" applyAlignment="1">
      <alignment horizontal="center" vertical="top" wrapText="1"/>
    </xf>
    <xf numFmtId="0" fontId="274" fillId="4" borderId="1" xfId="0" applyFont="1" applyFill="1" applyBorder="1" applyAlignment="1">
      <alignment horizontal="center" vertical="top" wrapText="1"/>
    </xf>
    <xf numFmtId="0" fontId="273" fillId="5" borderId="0" xfId="0" applyFont="1" applyFill="1" applyBorder="1" applyAlignment="1">
      <alignment horizontal="center" vertical="top" wrapText="1"/>
    </xf>
    <xf numFmtId="0" fontId="220" fillId="0" borderId="1" xfId="0" applyFont="1" applyFill="1" applyBorder="1" applyAlignment="1">
      <alignment horizontal="center" vertical="top" wrapText="1"/>
    </xf>
    <xf numFmtId="0" fontId="220" fillId="0" borderId="3" xfId="0" applyFont="1" applyFill="1" applyBorder="1" applyAlignment="1">
      <alignment horizontal="center" vertical="top" wrapText="1"/>
    </xf>
    <xf numFmtId="1" fontId="274" fillId="0" borderId="0" xfId="0" applyNumberFormat="1" applyFont="1" applyFill="1" applyBorder="1" applyAlignment="1">
      <alignment horizontal="center" vertical="top" wrapText="1"/>
    </xf>
    <xf numFmtId="3" fontId="209" fillId="0" borderId="0" xfId="0" applyNumberFormat="1" applyFont="1" applyFill="1" applyBorder="1" applyAlignment="1">
      <alignment horizontal="center" vertical="center"/>
    </xf>
    <xf numFmtId="0" fontId="196" fillId="0" borderId="0" xfId="0" applyFont="1" applyFill="1" applyAlignment="1">
      <alignment vertical="top" wrapText="1"/>
    </xf>
    <xf numFmtId="164" fontId="274" fillId="0" borderId="0" xfId="0" applyNumberFormat="1" applyFont="1" applyFill="1" applyBorder="1" applyAlignment="1">
      <alignment horizontal="left" vertical="top" wrapText="1"/>
    </xf>
    <xf numFmtId="164" fontId="274" fillId="0" borderId="0" xfId="0" applyNumberFormat="1" applyFont="1" applyFill="1" applyBorder="1" applyAlignment="1">
      <alignment horizontal="right" vertical="top" wrapText="1"/>
    </xf>
    <xf numFmtId="164" fontId="193" fillId="0" borderId="1" xfId="0" applyNumberFormat="1" applyFont="1" applyFill="1" applyBorder="1" applyAlignment="1">
      <alignment horizontal="center"/>
    </xf>
    <xf numFmtId="0" fontId="196" fillId="0" borderId="0" xfId="0" applyFont="1" applyAlignment="1">
      <alignment vertical="top" wrapText="1"/>
    </xf>
    <xf numFmtId="0" fontId="274" fillId="0" borderId="3" xfId="0" applyFont="1" applyBorder="1" applyAlignment="1">
      <alignment vertical="top" wrapText="1"/>
    </xf>
    <xf numFmtId="0" fontId="193" fillId="0" borderId="0" xfId="0" applyFont="1" applyFill="1" applyBorder="1" applyAlignment="1">
      <alignment horizontal="center" vertical="top" wrapText="1"/>
    </xf>
    <xf numFmtId="3" fontId="193" fillId="0" borderId="0" xfId="0" applyNumberFormat="1" applyFont="1" applyFill="1" applyBorder="1" applyAlignment="1">
      <alignment horizontal="center"/>
    </xf>
    <xf numFmtId="0" fontId="274" fillId="0" borderId="0" xfId="0" applyFont="1" applyFill="1" applyBorder="1" applyAlignment="1">
      <alignment horizontal="left" vertical="top" wrapText="1"/>
    </xf>
    <xf numFmtId="0" fontId="299" fillId="0" borderId="0" xfId="0" applyFont="1" applyFill="1" applyAlignment="1">
      <alignment horizontal="right" vertical="top" wrapText="1"/>
    </xf>
    <xf numFmtId="0" fontId="274" fillId="0" borderId="0" xfId="0" applyFont="1" applyFill="1" applyBorder="1" applyAlignment="1">
      <alignment horizontal="right" vertical="top" wrapText="1"/>
    </xf>
    <xf numFmtId="0" fontId="196" fillId="0" borderId="0" xfId="0" applyFont="1" applyFill="1" applyAlignment="1">
      <alignment horizontal="left" vertical="top" wrapText="1"/>
    </xf>
    <xf numFmtId="0" fontId="288" fillId="0" borderId="0" xfId="0" applyFont="1" applyFill="1" applyBorder="1" applyAlignment="1">
      <alignment vertical="top" wrapText="1"/>
    </xf>
    <xf numFmtId="0" fontId="193" fillId="0" borderId="1" xfId="0" applyFont="1" applyBorder="1" applyAlignment="1">
      <alignment horizontal="center" vertical="center" wrapText="1"/>
    </xf>
    <xf numFmtId="1" fontId="193" fillId="0" borderId="0" xfId="0" applyNumberFormat="1" applyFont="1" applyBorder="1" applyAlignment="1">
      <alignment horizontal="center" vertical="center" wrapText="1"/>
    </xf>
    <xf numFmtId="0" fontId="193" fillId="0" borderId="0" xfId="0" applyFont="1" applyFill="1" applyBorder="1" applyAlignment="1">
      <alignment horizontal="center" vertical="center" wrapText="1"/>
    </xf>
    <xf numFmtId="1" fontId="193" fillId="0" borderId="0" xfId="0" applyNumberFormat="1" applyFont="1" applyFill="1" applyBorder="1" applyAlignment="1">
      <alignment horizontal="center" vertical="center" wrapText="1"/>
    </xf>
    <xf numFmtId="0" fontId="193" fillId="0" borderId="1" xfId="0" applyFont="1" applyFill="1" applyBorder="1" applyAlignment="1">
      <alignment horizontal="center" vertical="center" wrapText="1"/>
    </xf>
    <xf numFmtId="165" fontId="193" fillId="0" borderId="0" xfId="0" applyNumberFormat="1" applyFont="1" applyFill="1" applyBorder="1" applyAlignment="1">
      <alignment horizontal="center" vertical="center" wrapText="1"/>
    </xf>
    <xf numFmtId="3" fontId="193" fillId="0" borderId="0" xfId="0" applyNumberFormat="1" applyFont="1" applyFill="1" applyBorder="1" applyAlignment="1">
      <alignment horizontal="center" vertical="center" wrapText="1"/>
    </xf>
    <xf numFmtId="0" fontId="289" fillId="0" borderId="0" xfId="0" applyFont="1" applyFill="1" applyBorder="1" applyAlignment="1">
      <alignment horizontal="center" vertical="top" wrapText="1"/>
    </xf>
    <xf numFmtId="1" fontId="289" fillId="0" borderId="0" xfId="0" applyNumberFormat="1" applyFont="1" applyFill="1" applyBorder="1" applyAlignment="1">
      <alignment horizontal="center" vertical="top" wrapText="1"/>
    </xf>
    <xf numFmtId="0" fontId="289" fillId="0" borderId="0" xfId="0" applyFont="1" applyBorder="1" applyAlignment="1">
      <alignment horizontal="center" vertical="top" wrapText="1"/>
    </xf>
    <xf numFmtId="3" fontId="214" fillId="0" borderId="0" xfId="0" applyNumberFormat="1" applyFont="1" applyBorder="1" applyAlignment="1">
      <alignment horizontal="center" vertical="center" wrapText="1"/>
    </xf>
    <xf numFmtId="3" fontId="214" fillId="0" borderId="0" xfId="0" applyNumberFormat="1" applyFont="1" applyFill="1" applyBorder="1" applyAlignment="1">
      <alignment horizontal="center" vertical="center" wrapText="1"/>
    </xf>
    <xf numFmtId="0" fontId="274" fillId="0" borderId="0" xfId="0" applyFont="1" applyAlignment="1">
      <alignment horizontal="left" vertical="top" wrapText="1"/>
    </xf>
    <xf numFmtId="3" fontId="193" fillId="0" borderId="0" xfId="0" applyNumberFormat="1" applyFont="1" applyBorder="1" applyAlignment="1">
      <alignment horizontal="center" vertical="center"/>
    </xf>
    <xf numFmtId="3" fontId="193" fillId="0" borderId="0" xfId="0" applyNumberFormat="1" applyFont="1" applyFill="1" applyAlignment="1">
      <alignment horizontal="center" vertical="center"/>
    </xf>
    <xf numFmtId="0" fontId="196" fillId="0" borderId="0" xfId="0" applyFont="1" applyFill="1" applyBorder="1" applyAlignment="1">
      <alignment horizontal="left" vertical="top" wrapText="1"/>
    </xf>
    <xf numFmtId="0" fontId="196" fillId="0" borderId="0" xfId="0" applyFont="1" applyFill="1" applyBorder="1" applyAlignment="1">
      <alignment vertical="top" wrapText="1"/>
    </xf>
    <xf numFmtId="0" fontId="288" fillId="0" borderId="0" xfId="0" applyFont="1" applyFill="1" applyAlignment="1">
      <alignment horizontal="right" vertical="top" wrapText="1"/>
    </xf>
    <xf numFmtId="0" fontId="193" fillId="0" borderId="1" xfId="0" applyFont="1" applyFill="1" applyBorder="1" applyAlignment="1">
      <alignment horizontal="center" vertical="top" wrapText="1"/>
    </xf>
    <xf numFmtId="0" fontId="302" fillId="0" borderId="1" xfId="0" applyFont="1" applyFill="1" applyBorder="1" applyAlignment="1">
      <alignment horizontal="center" vertical="center"/>
    </xf>
    <xf numFmtId="0" fontId="196" fillId="0" borderId="2" xfId="0" applyFont="1" applyFill="1" applyBorder="1" applyAlignment="1">
      <alignment vertical="top" wrapText="1"/>
    </xf>
    <xf numFmtId="0" fontId="274" fillId="0" borderId="0" xfId="0" applyFont="1" applyFill="1" applyAlignment="1">
      <alignment horizontal="right" vertical="top" wrapText="1"/>
    </xf>
    <xf numFmtId="0" fontId="193" fillId="0" borderId="1" xfId="0" applyFont="1" applyFill="1" applyBorder="1" applyAlignment="1">
      <alignment horizontal="center"/>
    </xf>
    <xf numFmtId="0" fontId="193" fillId="0" borderId="0" xfId="0" applyFont="1" applyFill="1" applyBorder="1" applyAlignment="1">
      <alignment horizontal="center"/>
    </xf>
    <xf numFmtId="0" fontId="214" fillId="0" borderId="0" xfId="0" applyFont="1" applyFill="1" applyBorder="1" applyAlignment="1">
      <alignment horizontal="center" vertical="center"/>
    </xf>
    <xf numFmtId="0" fontId="195" fillId="0" borderId="1" xfId="0" applyFont="1" applyFill="1" applyBorder="1" applyAlignment="1">
      <alignment vertical="top" wrapText="1"/>
    </xf>
    <xf numFmtId="0" fontId="296" fillId="0" borderId="1" xfId="0" applyFont="1" applyFill="1" applyBorder="1" applyAlignment="1">
      <alignment vertical="top" wrapText="1"/>
    </xf>
    <xf numFmtId="0" fontId="212" fillId="0" borderId="0" xfId="0" applyFont="1" applyAlignment="1">
      <alignment horizontal="center" vertical="top" wrapText="1"/>
    </xf>
    <xf numFmtId="3" fontId="214" fillId="0" borderId="0" xfId="0" applyNumberFormat="1" applyFont="1" applyBorder="1" applyAlignment="1">
      <alignment horizontal="center" vertical="center"/>
    </xf>
    <xf numFmtId="0" fontId="214" fillId="0" borderId="1" xfId="0" applyFont="1" applyBorder="1" applyAlignment="1">
      <alignment horizontal="center"/>
    </xf>
    <xf numFmtId="0" fontId="208" fillId="0" borderId="0" xfId="0" applyFont="1" applyFill="1" applyBorder="1" applyAlignment="1">
      <alignment horizontal="left" vertical="top" wrapText="1"/>
    </xf>
    <xf numFmtId="0" fontId="200" fillId="0" borderId="0" xfId="0" applyFont="1" applyAlignment="1">
      <alignment horizontal="left" vertical="top" wrapText="1"/>
    </xf>
    <xf numFmtId="164" fontId="214" fillId="0" borderId="0" xfId="0" applyNumberFormat="1" applyFont="1" applyBorder="1" applyAlignment="1">
      <alignment horizontal="center"/>
    </xf>
    <xf numFmtId="0" fontId="303" fillId="0" borderId="0" xfId="0" applyFont="1" applyFill="1" applyBorder="1" applyAlignment="1">
      <alignment horizontal="center" vertical="top" wrapText="1"/>
    </xf>
    <xf numFmtId="165" fontId="216" fillId="0" borderId="0" xfId="0" applyNumberFormat="1" applyFont="1" applyFill="1" applyBorder="1" applyAlignment="1">
      <alignment horizontal="center" vertical="top" wrapText="1"/>
    </xf>
    <xf numFmtId="164" fontId="216" fillId="0" borderId="0" xfId="0" applyNumberFormat="1" applyFont="1" applyFill="1" applyAlignment="1">
      <alignment horizontal="center" vertical="center"/>
    </xf>
    <xf numFmtId="164" fontId="216" fillId="0" borderId="0" xfId="0" applyNumberFormat="1" applyFont="1" applyFill="1" applyBorder="1" applyAlignment="1">
      <alignment horizontal="center" vertical="center"/>
    </xf>
    <xf numFmtId="0" fontId="197" fillId="0" borderId="0" xfId="0" applyFont="1" applyFill="1" applyBorder="1" applyAlignment="1">
      <alignment horizontal="right" vertical="top" wrapText="1"/>
    </xf>
    <xf numFmtId="0" fontId="289" fillId="0" borderId="1" xfId="0" applyFont="1" applyFill="1" applyBorder="1" applyAlignment="1">
      <alignment vertical="top" wrapText="1"/>
    </xf>
    <xf numFmtId="164" fontId="289" fillId="0" borderId="0" xfId="0" applyNumberFormat="1" applyFont="1" applyFill="1" applyBorder="1" applyAlignment="1">
      <alignment horizontal="right" vertical="top" wrapText="1"/>
    </xf>
    <xf numFmtId="0" fontId="289" fillId="0" borderId="1" xfId="0" applyFont="1" applyFill="1" applyBorder="1" applyAlignment="1">
      <alignment horizontal="center" vertical="top" wrapText="1"/>
    </xf>
    <xf numFmtId="3" fontId="214" fillId="0" borderId="0" xfId="0" applyNumberFormat="1" applyFont="1" applyFill="1" applyBorder="1" applyAlignment="1">
      <alignment horizontal="center" vertical="center"/>
    </xf>
    <xf numFmtId="1" fontId="214" fillId="0" borderId="0" xfId="0" applyNumberFormat="1" applyFont="1" applyBorder="1" applyAlignment="1">
      <alignment horizontal="center" vertical="center"/>
    </xf>
    <xf numFmtId="0" fontId="200" fillId="0" borderId="0" xfId="0" applyFont="1" applyFill="1" applyBorder="1" applyAlignment="1">
      <alignment horizontal="right" vertical="top" wrapText="1"/>
    </xf>
    <xf numFmtId="0" fontId="274" fillId="0" borderId="0" xfId="0" applyFont="1" applyAlignment="1">
      <alignment horizontal="right" vertical="top" wrapText="1"/>
    </xf>
    <xf numFmtId="0" fontId="193" fillId="0" borderId="1" xfId="0" applyFont="1" applyBorder="1" applyAlignment="1">
      <alignment horizontal="center" vertical="center"/>
    </xf>
    <xf numFmtId="0" fontId="193" fillId="0" borderId="0" xfId="0" applyFont="1" applyBorder="1" applyAlignment="1">
      <alignment horizontal="center" vertical="center"/>
    </xf>
    <xf numFmtId="0" fontId="193" fillId="0" borderId="0" xfId="0" applyFont="1" applyFill="1" applyAlignment="1">
      <alignment horizontal="center" vertical="center"/>
    </xf>
    <xf numFmtId="0" fontId="193" fillId="0" borderId="2" xfId="0" applyFont="1" applyFill="1" applyBorder="1" applyAlignment="1">
      <alignment horizontal="center" vertical="center" wrapText="1"/>
    </xf>
    <xf numFmtId="0" fontId="0" fillId="0" borderId="0" xfId="0" applyFont="1" applyFill="1" applyBorder="1"/>
    <xf numFmtId="0" fontId="193" fillId="0" borderId="1" xfId="1" applyFont="1" applyFill="1" applyBorder="1" applyAlignment="1">
      <alignment horizontal="center" vertical="center" wrapText="1"/>
    </xf>
    <xf numFmtId="0" fontId="203" fillId="0" borderId="0" xfId="0" applyFont="1" applyFill="1" applyBorder="1" applyAlignment="1">
      <alignment horizontal="right" vertical="top" wrapText="1"/>
    </xf>
    <xf numFmtId="0" fontId="306" fillId="0" borderId="0" xfId="2" applyFont="1" applyFill="1" applyAlignment="1">
      <alignment vertical="top" wrapText="1"/>
    </xf>
    <xf numFmtId="0" fontId="193" fillId="0" borderId="0" xfId="0" applyFont="1" applyFill="1" applyAlignment="1">
      <alignment horizontal="center" vertical="top" wrapText="1"/>
    </xf>
    <xf numFmtId="0" fontId="220" fillId="0" borderId="0" xfId="0" applyFont="1" applyFill="1" applyAlignment="1">
      <alignment horizontal="center" vertical="top" wrapText="1"/>
    </xf>
    <xf numFmtId="0" fontId="197" fillId="0" borderId="1" xfId="0" applyFont="1" applyFill="1" applyBorder="1" applyAlignment="1">
      <alignment vertical="top" wrapText="1"/>
    </xf>
    <xf numFmtId="164" fontId="209" fillId="0" borderId="0" xfId="0" applyNumberFormat="1" applyFont="1" applyFill="1" applyAlignment="1">
      <alignment horizontal="center" vertical="top" wrapText="1"/>
    </xf>
    <xf numFmtId="0" fontId="289" fillId="0" borderId="0" xfId="0" applyFont="1" applyFill="1" applyAlignment="1">
      <alignment horizontal="center" vertical="top" wrapText="1"/>
    </xf>
    <xf numFmtId="0" fontId="214" fillId="0" borderId="0" xfId="0" applyFont="1" applyFill="1" applyBorder="1" applyAlignment="1">
      <alignment horizontal="center"/>
    </xf>
    <xf numFmtId="1" fontId="214" fillId="0" borderId="0" xfId="0" applyNumberFormat="1" applyFont="1" applyFill="1" applyBorder="1" applyAlignment="1">
      <alignment horizontal="center" vertical="center"/>
    </xf>
    <xf numFmtId="0" fontId="242" fillId="0" borderId="0" xfId="0" applyFont="1" applyFill="1" applyBorder="1"/>
    <xf numFmtId="0" fontId="208" fillId="0" borderId="0" xfId="0" applyFont="1" applyFill="1" applyBorder="1" applyAlignment="1">
      <alignment horizontal="center" vertical="top" wrapText="1"/>
    </xf>
    <xf numFmtId="0" fontId="203" fillId="0" borderId="0" xfId="0" applyFont="1" applyFill="1" applyBorder="1" applyAlignment="1">
      <alignment vertical="top" wrapText="1"/>
    </xf>
    <xf numFmtId="164" fontId="309" fillId="0" borderId="0" xfId="0" applyNumberFormat="1" applyFont="1" applyFill="1" applyBorder="1" applyAlignment="1">
      <alignment horizontal="right" vertical="top" wrapText="1"/>
    </xf>
    <xf numFmtId="0" fontId="213" fillId="0" borderId="0" xfId="0" applyFont="1" applyAlignment="1">
      <alignment horizontal="center" vertical="top" wrapText="1"/>
    </xf>
    <xf numFmtId="0" fontId="213" fillId="0" borderId="0" xfId="0" applyFont="1" applyBorder="1" applyAlignment="1">
      <alignment horizontal="center" vertical="top" wrapText="1"/>
    </xf>
    <xf numFmtId="164" fontId="200" fillId="0" borderId="0" xfId="0" applyNumberFormat="1" applyFont="1" applyBorder="1" applyAlignment="1">
      <alignment horizontal="center"/>
    </xf>
    <xf numFmtId="0" fontId="196" fillId="0" borderId="1" xfId="0" applyFont="1" applyFill="1" applyBorder="1" applyAlignment="1">
      <alignment vertical="top" wrapText="1"/>
    </xf>
    <xf numFmtId="0" fontId="212" fillId="0" borderId="0" xfId="0" applyFont="1" applyFill="1" applyAlignment="1">
      <alignment horizontal="center"/>
    </xf>
    <xf numFmtId="0" fontId="310" fillId="0" borderId="0" xfId="0" applyFont="1" applyFill="1" applyAlignment="1">
      <alignment horizontal="center"/>
    </xf>
    <xf numFmtId="0" fontId="311" fillId="10" borderId="0" xfId="0" applyFont="1" applyFill="1" applyAlignment="1">
      <alignment horizontal="left" vertical="center" wrapText="1"/>
    </xf>
    <xf numFmtId="0" fontId="289" fillId="0" borderId="0" xfId="0" applyFont="1" applyBorder="1" applyAlignment="1">
      <alignment horizontal="center" vertical="center"/>
    </xf>
    <xf numFmtId="0" fontId="289" fillId="0" borderId="0" xfId="0" applyFont="1" applyFill="1" applyBorder="1" applyAlignment="1">
      <alignment horizontal="center" vertical="center"/>
    </xf>
    <xf numFmtId="0" fontId="310" fillId="0" borderId="0" xfId="0" applyFont="1" applyFill="1" applyBorder="1" applyAlignment="1">
      <alignment horizontal="center" vertical="center"/>
    </xf>
    <xf numFmtId="0" fontId="315" fillId="7" borderId="0" xfId="0" applyFont="1" applyFill="1" applyBorder="1"/>
    <xf numFmtId="0" fontId="289" fillId="0" borderId="0" xfId="0" applyFont="1"/>
    <xf numFmtId="0" fontId="289" fillId="0" borderId="0" xfId="0" applyFont="1" applyAlignment="1">
      <alignment horizontal="center"/>
    </xf>
    <xf numFmtId="0" fontId="289" fillId="0" borderId="1" xfId="0" applyFont="1" applyBorder="1" applyAlignment="1">
      <alignment horizontal="center" vertical="center"/>
    </xf>
    <xf numFmtId="0" fontId="315" fillId="7" borderId="0" xfId="0" applyFont="1" applyFill="1" applyBorder="1" applyAlignment="1">
      <alignment vertical="center"/>
    </xf>
    <xf numFmtId="0" fontId="212" fillId="0" borderId="0" xfId="0" applyFont="1" applyFill="1" applyAlignment="1">
      <alignment horizontal="center" vertical="center"/>
    </xf>
    <xf numFmtId="0" fontId="289" fillId="0" borderId="0" xfId="0" applyFont="1" applyFill="1" applyAlignment="1">
      <alignment vertical="center"/>
    </xf>
    <xf numFmtId="0" fontId="289" fillId="0" borderId="0" xfId="0" applyFont="1" applyAlignment="1">
      <alignment vertical="center"/>
    </xf>
    <xf numFmtId="0" fontId="289" fillId="0" borderId="0" xfId="0" applyFont="1" applyAlignment="1">
      <alignment horizontal="center" vertical="center"/>
    </xf>
    <xf numFmtId="0" fontId="289" fillId="0" borderId="2" xfId="0" applyFont="1" applyBorder="1" applyAlignment="1">
      <alignment horizontal="center" vertical="center"/>
    </xf>
    <xf numFmtId="0" fontId="289" fillId="19" borderId="1" xfId="0" applyFont="1" applyFill="1" applyBorder="1" applyAlignment="1">
      <alignment horizontal="center" vertical="center"/>
    </xf>
    <xf numFmtId="0" fontId="316" fillId="0" borderId="0" xfId="0" applyFont="1" applyFill="1" applyBorder="1" applyAlignment="1">
      <alignment vertical="top" wrapText="1"/>
    </xf>
    <xf numFmtId="0" fontId="314" fillId="0" borderId="0" xfId="0" applyFont="1" applyFill="1"/>
    <xf numFmtId="0" fontId="289" fillId="0" borderId="0" xfId="0" applyFont="1" applyFill="1"/>
    <xf numFmtId="0" fontId="289" fillId="0" borderId="0" xfId="0" applyFont="1" applyFill="1" applyAlignment="1">
      <alignment horizontal="center"/>
    </xf>
    <xf numFmtId="0" fontId="317" fillId="0" borderId="0" xfId="0" applyFont="1" applyAlignment="1">
      <alignment vertical="center"/>
    </xf>
    <xf numFmtId="0" fontId="289" fillId="0" borderId="3" xfId="0" applyFont="1" applyFill="1" applyBorder="1" applyAlignment="1">
      <alignment horizontal="center" vertical="center"/>
    </xf>
    <xf numFmtId="0" fontId="208" fillId="0" borderId="0" xfId="0" applyFont="1" applyFill="1" applyBorder="1" applyAlignment="1">
      <alignment vertical="top" wrapText="1"/>
    </xf>
    <xf numFmtId="164" fontId="203" fillId="0" borderId="0" xfId="0" applyNumberFormat="1" applyFont="1" applyBorder="1" applyAlignment="1">
      <alignment horizontal="center"/>
    </xf>
    <xf numFmtId="0" fontId="203" fillId="0" borderId="2" xfId="0" applyFont="1" applyFill="1" applyBorder="1" applyAlignment="1">
      <alignment vertical="top" wrapText="1"/>
    </xf>
    <xf numFmtId="0" fontId="311" fillId="0" borderId="0" xfId="0" applyFont="1" applyBorder="1" applyAlignment="1">
      <alignment horizontal="center" vertical="center"/>
    </xf>
    <xf numFmtId="0" fontId="311" fillId="0" borderId="2" xfId="0" applyFont="1" applyBorder="1" applyAlignment="1">
      <alignment horizontal="center" vertical="center"/>
    </xf>
    <xf numFmtId="0" fontId="289" fillId="0" borderId="2" xfId="0" applyFont="1" applyFill="1" applyBorder="1" applyAlignment="1">
      <alignment horizontal="center" vertical="center"/>
    </xf>
    <xf numFmtId="0" fontId="289" fillId="0" borderId="0" xfId="0" applyFont="1" applyBorder="1" applyAlignment="1">
      <alignment horizontal="center"/>
    </xf>
    <xf numFmtId="0" fontId="289" fillId="0" borderId="2" xfId="0" applyFont="1" applyBorder="1" applyAlignment="1">
      <alignment horizontal="center"/>
    </xf>
    <xf numFmtId="0" fontId="318" fillId="7" borderId="0" xfId="0" applyFont="1" applyFill="1" applyBorder="1" applyAlignment="1">
      <alignment horizontal="center" vertical="center"/>
    </xf>
    <xf numFmtId="0" fontId="319" fillId="0" borderId="0" xfId="0" applyFont="1"/>
    <xf numFmtId="0" fontId="212" fillId="0" borderId="0" xfId="0" applyFont="1" applyBorder="1" applyAlignment="1">
      <alignment horizontal="center" vertical="top" wrapText="1"/>
    </xf>
    <xf numFmtId="0" fontId="200" fillId="0" borderId="0" xfId="0" applyFont="1" applyFill="1" applyBorder="1" applyAlignment="1">
      <alignment horizontal="center" vertical="top" wrapText="1"/>
    </xf>
    <xf numFmtId="1" fontId="193" fillId="0" borderId="0" xfId="0" applyNumberFormat="1" applyFont="1" applyBorder="1" applyAlignment="1">
      <alignment horizontal="center" vertical="center"/>
    </xf>
    <xf numFmtId="3" fontId="74" fillId="14" borderId="1" xfId="0" applyNumberFormat="1" applyFont="1" applyFill="1" applyBorder="1" applyAlignment="1">
      <alignment horizontal="center" vertical="center"/>
    </xf>
    <xf numFmtId="0" fontId="202" fillId="14" borderId="2" xfId="0" applyFont="1" applyFill="1" applyBorder="1" applyAlignment="1">
      <alignment horizontal="center" vertical="center"/>
    </xf>
    <xf numFmtId="164" fontId="75" fillId="13" borderId="1" xfId="0" applyNumberFormat="1" applyFont="1" applyFill="1" applyBorder="1" applyAlignment="1">
      <alignment horizontal="center" vertical="center"/>
    </xf>
    <xf numFmtId="164" fontId="4" fillId="13" borderId="2" xfId="0" applyNumberFormat="1" applyFont="1" applyFill="1" applyBorder="1" applyAlignment="1">
      <alignment horizontal="center" vertical="center"/>
    </xf>
    <xf numFmtId="0" fontId="289" fillId="0" borderId="0" xfId="0" applyFont="1" applyBorder="1" applyAlignment="1">
      <alignment vertical="top" wrapText="1"/>
    </xf>
    <xf numFmtId="0" fontId="220" fillId="0" borderId="2" xfId="0" applyFont="1" applyFill="1" applyBorder="1" applyAlignment="1">
      <alignment horizontal="center" vertical="top" wrapText="1"/>
    </xf>
    <xf numFmtId="164" fontId="214" fillId="0" borderId="1" xfId="0" applyNumberFormat="1" applyFont="1" applyFill="1" applyBorder="1" applyAlignment="1">
      <alignment horizontal="center" vertical="center"/>
    </xf>
    <xf numFmtId="164" fontId="274" fillId="0" borderId="0" xfId="0" applyNumberFormat="1" applyFont="1" applyAlignment="1">
      <alignment horizontal="right" vertical="top" wrapText="1"/>
    </xf>
    <xf numFmtId="0" fontId="69" fillId="0" borderId="0" xfId="0" applyFont="1" applyAlignment="1">
      <alignment horizontal="right" vertical="top" wrapText="1"/>
    </xf>
    <xf numFmtId="0" fontId="193" fillId="0" borderId="1" xfId="0" applyFont="1" applyBorder="1" applyAlignment="1">
      <alignment horizontal="center"/>
    </xf>
    <xf numFmtId="0" fontId="193" fillId="0" borderId="0" xfId="0" applyFont="1" applyBorder="1" applyAlignment="1">
      <alignment horizontal="center"/>
    </xf>
    <xf numFmtId="0" fontId="274" fillId="0" borderId="0" xfId="0" applyFont="1" applyAlignment="1">
      <alignment horizontal="center" vertical="top" wrapText="1"/>
    </xf>
    <xf numFmtId="1" fontId="193" fillId="0" borderId="0" xfId="0" applyNumberFormat="1" applyFont="1" applyAlignment="1">
      <alignment horizontal="center" vertical="center"/>
    </xf>
    <xf numFmtId="0" fontId="193" fillId="0" borderId="0" xfId="0" applyFont="1" applyFill="1" applyAlignment="1">
      <alignment horizontal="center"/>
    </xf>
    <xf numFmtId="3" fontId="193" fillId="0" borderId="2" xfId="0" applyNumberFormat="1" applyFont="1" applyBorder="1" applyAlignment="1">
      <alignment horizontal="center" vertical="center"/>
    </xf>
    <xf numFmtId="0" fontId="196" fillId="0" borderId="0" xfId="0" applyFont="1" applyBorder="1" applyAlignment="1">
      <alignment horizontal="right" vertical="top" wrapText="1"/>
    </xf>
    <xf numFmtId="0" fontId="208" fillId="0" borderId="0" xfId="0" applyFont="1" applyBorder="1" applyAlignment="1">
      <alignment horizontal="left" vertical="top" wrapText="1"/>
    </xf>
    <xf numFmtId="0" fontId="198" fillId="0" borderId="0" xfId="0" applyFont="1" applyFill="1" applyBorder="1" applyAlignment="1">
      <alignment horizontal="left" vertical="top" wrapText="1"/>
    </xf>
    <xf numFmtId="3" fontId="289" fillId="0" borderId="0" xfId="0" applyNumberFormat="1" applyFont="1"/>
    <xf numFmtId="3" fontId="274" fillId="0" borderId="0" xfId="0" applyNumberFormat="1" applyFont="1" applyFill="1" applyBorder="1" applyAlignment="1">
      <alignment horizontal="right" vertical="top" wrapText="1"/>
    </xf>
    <xf numFmtId="0" fontId="274" fillId="0" borderId="0" xfId="0" applyFont="1" applyFill="1" applyAlignment="1">
      <alignment vertical="top" wrapText="1"/>
    </xf>
    <xf numFmtId="0" fontId="212" fillId="0" borderId="0" xfId="0" applyFont="1" applyFill="1" applyBorder="1" applyAlignment="1">
      <alignment horizontal="center" vertical="top" wrapText="1"/>
    </xf>
    <xf numFmtId="0" fontId="324" fillId="20" borderId="0" xfId="0" applyFont="1" applyFill="1"/>
    <xf numFmtId="3" fontId="196" fillId="0" borderId="0" xfId="0" applyNumberFormat="1" applyFont="1" applyFill="1" applyBorder="1" applyAlignment="1">
      <alignment horizontal="right" vertical="top" wrapText="1"/>
    </xf>
    <xf numFmtId="3" fontId="69" fillId="0" borderId="0" xfId="0" applyNumberFormat="1" applyFont="1" applyFill="1" applyBorder="1" applyAlignment="1">
      <alignment horizontal="right" vertical="top" wrapText="1"/>
    </xf>
    <xf numFmtId="0" fontId="19" fillId="0" borderId="0" xfId="0" applyFont="1" applyFill="1" applyAlignment="1">
      <alignment horizontal="center"/>
    </xf>
    <xf numFmtId="0" fontId="296" fillId="0" borderId="0" xfId="0" applyFont="1" applyBorder="1" applyAlignment="1">
      <alignment horizontal="center"/>
    </xf>
    <xf numFmtId="0" fontId="296" fillId="0" borderId="2" xfId="0" applyFont="1" applyBorder="1" applyAlignment="1">
      <alignment horizontal="center"/>
    </xf>
    <xf numFmtId="0" fontId="296" fillId="0" borderId="0" xfId="0" applyFont="1" applyBorder="1" applyAlignment="1">
      <alignment horizontal="center" vertical="center"/>
    </xf>
    <xf numFmtId="0" fontId="19" fillId="0" borderId="0" xfId="0" applyFont="1" applyFill="1" applyBorder="1" applyAlignment="1">
      <alignment horizontal="center" vertical="center"/>
    </xf>
    <xf numFmtId="0" fontId="24" fillId="7" borderId="0" xfId="0" applyFont="1" applyFill="1"/>
    <xf numFmtId="0" fontId="20" fillId="0" borderId="0" xfId="0" applyFont="1"/>
    <xf numFmtId="0" fontId="27" fillId="0" borderId="0" xfId="0" applyFont="1"/>
    <xf numFmtId="0" fontId="296" fillId="0" borderId="0" xfId="0" applyFont="1"/>
    <xf numFmtId="0" fontId="34" fillId="0" borderId="0" xfId="0" applyFont="1" applyFill="1" applyAlignment="1">
      <alignment vertical="top" wrapText="1"/>
    </xf>
    <xf numFmtId="0" fontId="34" fillId="0" borderId="0" xfId="0" applyFont="1" applyFill="1" applyBorder="1" applyAlignment="1">
      <alignment horizontal="right" vertical="top" wrapText="1"/>
    </xf>
    <xf numFmtId="0" fontId="0" fillId="0" borderId="0" xfId="0" applyFill="1" applyAlignment="1">
      <alignment horizontal="left" vertical="top" wrapText="1"/>
    </xf>
    <xf numFmtId="0" fontId="48" fillId="0" borderId="0" xfId="0" applyFont="1" applyFill="1" applyBorder="1" applyAlignment="1">
      <alignment horizontal="left" vertical="top" wrapText="1"/>
    </xf>
    <xf numFmtId="0" fontId="288" fillId="0" borderId="0" xfId="0" applyFont="1" applyFill="1" applyBorder="1" applyAlignment="1">
      <alignment vertical="top" wrapText="1"/>
    </xf>
    <xf numFmtId="0" fontId="194" fillId="0" borderId="1" xfId="0" applyFont="1" applyFill="1" applyBorder="1" applyAlignment="1">
      <alignment vertical="top" wrapText="1"/>
    </xf>
    <xf numFmtId="0" fontId="296" fillId="19" borderId="1" xfId="0" applyFont="1" applyFill="1" applyBorder="1" applyAlignment="1">
      <alignment horizontal="center" vertical="center"/>
    </xf>
    <xf numFmtId="0" fontId="18" fillId="7" borderId="0" xfId="0" applyFont="1" applyFill="1" applyBorder="1" applyAlignment="1">
      <alignment horizontal="right"/>
    </xf>
    <xf numFmtId="3" fontId="18" fillId="0" borderId="0" xfId="0" applyNumberFormat="1" applyFont="1" applyFill="1"/>
    <xf numFmtId="0" fontId="18" fillId="0" borderId="0" xfId="0" applyFont="1" applyFill="1"/>
    <xf numFmtId="0" fontId="24" fillId="0" borderId="0" xfId="0" applyFont="1" applyFill="1"/>
    <xf numFmtId="0" fontId="296" fillId="0" borderId="0" xfId="0" applyFont="1" applyFill="1"/>
    <xf numFmtId="0" fontId="21" fillId="0" borderId="1" xfId="0" applyFont="1" applyBorder="1" applyAlignment="1">
      <alignment horizontal="center"/>
    </xf>
    <xf numFmtId="0" fontId="21" fillId="0" borderId="2" xfId="0" applyFont="1" applyBorder="1" applyAlignment="1">
      <alignment horizontal="center"/>
    </xf>
    <xf numFmtId="0" fontId="21" fillId="0" borderId="0" xfId="0" applyFont="1" applyBorder="1" applyAlignment="1">
      <alignment horizontal="center" vertical="center"/>
    </xf>
    <xf numFmtId="0" fontId="24" fillId="7" borderId="0" xfId="0" applyFont="1" applyFill="1" applyBorder="1" applyAlignment="1">
      <alignment horizontal="left"/>
    </xf>
    <xf numFmtId="0" fontId="220" fillId="0" borderId="0" xfId="0" applyFont="1" applyAlignment="1">
      <alignment horizontal="center" vertical="top" wrapText="1"/>
    </xf>
    <xf numFmtId="0" fontId="196" fillId="0" borderId="0" xfId="0" applyFont="1" applyFill="1" applyBorder="1" applyAlignment="1">
      <alignment horizontal="right" vertical="top" wrapText="1"/>
    </xf>
    <xf numFmtId="0" fontId="24" fillId="7" borderId="0" xfId="0" applyFont="1" applyFill="1" applyBorder="1"/>
    <xf numFmtId="0" fontId="289" fillId="0" borderId="0" xfId="0" applyFont="1" applyAlignment="1">
      <alignment horizontal="center" vertical="top" wrapText="1"/>
    </xf>
    <xf numFmtId="0" fontId="196" fillId="0" borderId="0" xfId="0" applyFont="1" applyBorder="1" applyAlignment="1">
      <alignment vertical="top" wrapText="1"/>
    </xf>
    <xf numFmtId="0" fontId="203" fillId="0" borderId="0" xfId="0" applyFont="1" applyFill="1" applyBorder="1" applyAlignment="1">
      <alignment horizontal="right" vertical="top" wrapText="1"/>
    </xf>
    <xf numFmtId="0" fontId="194" fillId="0" borderId="1" xfId="0" applyFont="1" applyFill="1" applyBorder="1" applyAlignment="1">
      <alignment vertical="top" wrapText="1"/>
    </xf>
    <xf numFmtId="0" fontId="34" fillId="0" borderId="1" xfId="0" applyFont="1" applyFill="1" applyBorder="1" applyAlignment="1">
      <alignment horizontal="left" vertical="top" wrapText="1"/>
    </xf>
    <xf numFmtId="0" fontId="196" fillId="0" borderId="0" xfId="0" applyFont="1" applyFill="1" applyBorder="1" applyAlignment="1">
      <alignment horizontal="right" vertical="top" wrapText="1"/>
    </xf>
    <xf numFmtId="0" fontId="288" fillId="0" borderId="0" xfId="0" applyFont="1" applyFill="1" applyBorder="1" applyAlignment="1">
      <alignment vertical="top" wrapText="1"/>
    </xf>
    <xf numFmtId="0" fontId="34" fillId="0" borderId="0" xfId="0" applyFont="1" applyFill="1" applyAlignment="1">
      <alignment horizontal="left" vertical="top" wrapText="1"/>
    </xf>
    <xf numFmtId="0" fontId="34" fillId="0" borderId="0" xfId="0" applyFont="1" applyFill="1" applyBorder="1" applyAlignment="1">
      <alignment horizontal="right" vertical="top" wrapText="1"/>
    </xf>
    <xf numFmtId="0" fontId="196" fillId="0" borderId="0" xfId="0" applyFont="1" applyFill="1" applyAlignment="1">
      <alignment horizontal="left" vertical="top" wrapText="1"/>
    </xf>
    <xf numFmtId="0" fontId="195" fillId="0" borderId="2" xfId="0" applyFont="1" applyFill="1" applyBorder="1" applyAlignment="1">
      <alignment vertical="top" wrapText="1"/>
    </xf>
    <xf numFmtId="0" fontId="34" fillId="0" borderId="0" xfId="2" applyFont="1" applyFill="1" applyAlignment="1">
      <alignment vertical="top" wrapText="1"/>
    </xf>
    <xf numFmtId="0" fontId="29" fillId="0" borderId="1" xfId="0" applyFont="1" applyBorder="1" applyAlignment="1">
      <alignment horizontal="left" vertical="top" wrapText="1"/>
    </xf>
    <xf numFmtId="3" fontId="274" fillId="0" borderId="0" xfId="0" applyNumberFormat="1" applyFont="1" applyAlignment="1">
      <alignment vertical="top" wrapText="1"/>
    </xf>
    <xf numFmtId="3" fontId="274" fillId="0" borderId="0" xfId="0" applyNumberFormat="1" applyFont="1" applyAlignment="1">
      <alignment horizontal="right" vertical="top" wrapText="1"/>
    </xf>
    <xf numFmtId="0" fontId="274" fillId="0" borderId="4" xfId="0" applyFont="1" applyFill="1" applyBorder="1" applyAlignment="1">
      <alignment horizontal="center" vertical="top" wrapText="1"/>
    </xf>
    <xf numFmtId="0" fontId="193" fillId="0" borderId="4" xfId="0" applyFont="1" applyFill="1" applyBorder="1" applyAlignment="1">
      <alignment horizontal="center" vertical="center"/>
    </xf>
    <xf numFmtId="0" fontId="48" fillId="0" borderId="0" xfId="0" applyFont="1" applyFill="1" applyAlignment="1">
      <alignment horizontal="left" vertical="top" wrapText="1"/>
    </xf>
    <xf numFmtId="0" fontId="288" fillId="0" borderId="0" xfId="0" applyFont="1" applyFill="1" applyBorder="1" applyAlignment="1">
      <alignment horizontal="right" vertical="top" wrapText="1"/>
    </xf>
    <xf numFmtId="0" fontId="313" fillId="0" borderId="0" xfId="0" applyFont="1" applyAlignment="1">
      <alignment horizontal="center"/>
    </xf>
    <xf numFmtId="0" fontId="313" fillId="0" borderId="2" xfId="0" applyFont="1" applyBorder="1" applyAlignment="1">
      <alignment horizontal="center"/>
    </xf>
    <xf numFmtId="0" fontId="313" fillId="0" borderId="0" xfId="0" applyFont="1" applyBorder="1" applyAlignment="1">
      <alignment horizontal="center" vertical="center"/>
    </xf>
    <xf numFmtId="0" fontId="330" fillId="0" borderId="1" xfId="0" applyFont="1" applyFill="1" applyBorder="1"/>
    <xf numFmtId="0" fontId="288" fillId="0" borderId="0" xfId="0" applyFont="1" applyFill="1" applyAlignment="1">
      <alignment horizontal="left" vertical="top" wrapText="1"/>
    </xf>
    <xf numFmtId="0" fontId="288" fillId="0" borderId="0" xfId="0" applyFont="1" applyFill="1" applyBorder="1" applyAlignment="1">
      <alignment horizontal="center" vertical="top" wrapText="1"/>
    </xf>
    <xf numFmtId="0" fontId="196" fillId="0" borderId="0" xfId="0" applyFont="1" applyFill="1" applyAlignment="1">
      <alignment horizontal="left" vertical="top" wrapText="1"/>
    </xf>
    <xf numFmtId="0" fontId="34" fillId="0" borderId="2" xfId="0" applyFont="1" applyBorder="1" applyAlignment="1">
      <alignment vertical="top" wrapText="1"/>
    </xf>
    <xf numFmtId="0" fontId="202" fillId="0" borderId="1" xfId="0" applyFont="1" applyFill="1" applyBorder="1" applyAlignment="1">
      <alignment horizontal="center"/>
    </xf>
    <xf numFmtId="0" fontId="210" fillId="0" borderId="1" xfId="0" applyFont="1" applyFill="1" applyBorder="1" applyAlignment="1">
      <alignment horizontal="center"/>
    </xf>
    <xf numFmtId="0" fontId="210" fillId="0" borderId="1" xfId="0" applyFont="1" applyBorder="1" applyAlignment="1">
      <alignment horizontal="center"/>
    </xf>
    <xf numFmtId="164" fontId="299" fillId="0" borderId="1" xfId="0" applyNumberFormat="1" applyFont="1" applyBorder="1" applyAlignment="1">
      <alignment horizontal="left" vertical="top" wrapText="1"/>
    </xf>
    <xf numFmtId="1" fontId="193" fillId="0" borderId="0" xfId="0" applyNumberFormat="1" applyFont="1" applyFill="1" applyAlignment="1">
      <alignment horizontal="center"/>
    </xf>
    <xf numFmtId="0" fontId="311" fillId="0" borderId="0" xfId="0" applyFont="1" applyAlignment="1">
      <alignment horizontal="center"/>
    </xf>
    <xf numFmtId="0" fontId="289" fillId="0" borderId="3" xfId="0" applyFont="1" applyBorder="1" applyAlignment="1">
      <alignment horizontal="center" vertical="center"/>
    </xf>
    <xf numFmtId="0" fontId="220" fillId="0" borderId="0" xfId="0" applyFont="1" applyBorder="1" applyAlignment="1">
      <alignment horizontal="center" vertical="top" wrapText="1"/>
    </xf>
    <xf numFmtId="0" fontId="213" fillId="0" borderId="0" xfId="0" applyFont="1" applyFill="1" applyBorder="1" applyAlignment="1">
      <alignment horizontal="center" vertical="top" wrapText="1"/>
    </xf>
    <xf numFmtId="0" fontId="193" fillId="0" borderId="0" xfId="0" applyFont="1" applyAlignment="1">
      <alignment horizontal="center"/>
    </xf>
    <xf numFmtId="3" fontId="193" fillId="0" borderId="0" xfId="0" applyNumberFormat="1" applyFont="1" applyAlignment="1">
      <alignment horizontal="center"/>
    </xf>
    <xf numFmtId="0" fontId="208" fillId="0" borderId="0" xfId="0" applyFont="1" applyFill="1" applyAlignment="1">
      <alignment horizontal="center" vertical="top" wrapText="1"/>
    </xf>
    <xf numFmtId="0" fontId="220" fillId="0" borderId="3" xfId="0" applyFont="1" applyBorder="1" applyAlignment="1">
      <alignment horizontal="center" vertical="top" wrapText="1"/>
    </xf>
    <xf numFmtId="3" fontId="193" fillId="0" borderId="0" xfId="0" applyNumberFormat="1" applyFont="1" applyBorder="1" applyAlignment="1">
      <alignment horizontal="center"/>
    </xf>
    <xf numFmtId="1" fontId="193" fillId="0" borderId="0" xfId="0" applyNumberFormat="1" applyFont="1" applyFill="1" applyBorder="1" applyAlignment="1">
      <alignment horizontal="center"/>
    </xf>
    <xf numFmtId="0" fontId="69" fillId="0" borderId="0" xfId="0" applyFont="1" applyFill="1" applyBorder="1" applyAlignment="1">
      <alignment horizontal="right" vertical="top" wrapText="1"/>
    </xf>
    <xf numFmtId="3" fontId="193" fillId="0" borderId="1" xfId="0" applyNumberFormat="1" applyFont="1" applyBorder="1" applyAlignment="1">
      <alignment horizontal="center"/>
    </xf>
    <xf numFmtId="3" fontId="193" fillId="0" borderId="0" xfId="0" applyNumberFormat="1" applyFont="1" applyFill="1" applyAlignment="1">
      <alignment horizontal="center"/>
    </xf>
    <xf numFmtId="0" fontId="274" fillId="0" borderId="2" xfId="0" applyFont="1" applyFill="1" applyBorder="1" applyAlignment="1">
      <alignment horizontal="center" vertical="top" wrapText="1"/>
    </xf>
    <xf numFmtId="0" fontId="193" fillId="0" borderId="2" xfId="0" applyFont="1" applyFill="1" applyBorder="1" applyAlignment="1">
      <alignment horizontal="center"/>
    </xf>
    <xf numFmtId="0" fontId="196" fillId="0" borderId="1" xfId="0" applyFont="1" applyFill="1" applyBorder="1" applyAlignment="1">
      <alignment horizontal="left" vertical="top" wrapText="1"/>
    </xf>
    <xf numFmtId="0" fontId="274" fillId="0" borderId="0" xfId="0" applyFont="1" applyFill="1" applyAlignment="1">
      <alignment horizontal="left" vertical="top" wrapText="1"/>
    </xf>
    <xf numFmtId="0" fontId="197" fillId="0" borderId="0" xfId="0" applyFont="1" applyFill="1" applyBorder="1" applyAlignment="1">
      <alignment vertical="top" wrapText="1"/>
    </xf>
    <xf numFmtId="0" fontId="313" fillId="0" borderId="0" xfId="0" applyFont="1" applyAlignment="1">
      <alignment horizontal="center" vertical="center"/>
    </xf>
    <xf numFmtId="0" fontId="313" fillId="0" borderId="2" xfId="0" applyFont="1" applyBorder="1" applyAlignment="1">
      <alignment horizontal="center" vertical="center"/>
    </xf>
    <xf numFmtId="0" fontId="310" fillId="0" borderId="0" xfId="0" applyFont="1" applyAlignment="1">
      <alignment horizontal="center" vertical="center"/>
    </xf>
    <xf numFmtId="0" fontId="315" fillId="8" borderId="0" xfId="0" applyFont="1" applyFill="1" applyAlignment="1">
      <alignment vertical="center"/>
    </xf>
    <xf numFmtId="0" fontId="220" fillId="0" borderId="2" xfId="0" applyFont="1" applyBorder="1" applyAlignment="1">
      <alignment horizontal="center" vertical="top" wrapText="1"/>
    </xf>
    <xf numFmtId="0" fontId="296" fillId="0" borderId="0" xfId="0" applyFont="1" applyBorder="1" applyAlignment="1">
      <alignment vertical="top" wrapText="1"/>
    </xf>
    <xf numFmtId="0" fontId="69" fillId="0" borderId="0" xfId="0" applyFont="1" applyFill="1" applyAlignment="1">
      <alignment horizontal="right" vertical="top" wrapText="1"/>
    </xf>
    <xf numFmtId="0" fontId="289" fillId="0" borderId="2" xfId="0" applyFont="1" applyFill="1" applyBorder="1" applyAlignment="1">
      <alignment horizontal="center" vertical="top" wrapText="1"/>
    </xf>
    <xf numFmtId="0" fontId="214" fillId="0" borderId="2" xfId="0" applyFont="1" applyFill="1" applyBorder="1" applyAlignment="1">
      <alignment horizontal="center"/>
    </xf>
    <xf numFmtId="3" fontId="231" fillId="0" borderId="0" xfId="0" applyNumberFormat="1" applyFont="1" applyFill="1" applyAlignment="1">
      <alignment horizontal="center" vertical="center" wrapText="1"/>
    </xf>
    <xf numFmtId="0" fontId="311" fillId="0" borderId="0" xfId="0" applyFont="1" applyFill="1" applyAlignment="1">
      <alignment horizontal="center"/>
    </xf>
    <xf numFmtId="3" fontId="193" fillId="0" borderId="1" xfId="0" applyNumberFormat="1" applyFont="1" applyFill="1" applyBorder="1" applyAlignment="1">
      <alignment horizontal="center"/>
    </xf>
    <xf numFmtId="0" fontId="196" fillId="0" borderId="0" xfId="0" applyFont="1" applyFill="1" applyAlignment="1">
      <alignment horizontal="center" vertical="top" wrapText="1"/>
    </xf>
    <xf numFmtId="0" fontId="242" fillId="0" borderId="0" xfId="0" applyFont="1" applyAlignment="1">
      <alignment horizontal="center" vertical="top" wrapText="1"/>
    </xf>
    <xf numFmtId="0" fontId="271" fillId="0" borderId="0" xfId="0" applyFont="1" applyFill="1" applyAlignment="1">
      <alignment horizontal="center"/>
    </xf>
    <xf numFmtId="0" fontId="334" fillId="0" borderId="0" xfId="0" applyFont="1" applyFill="1" applyBorder="1" applyAlignment="1">
      <alignment horizontal="center" vertical="top" wrapText="1"/>
    </xf>
    <xf numFmtId="0" fontId="193" fillId="0" borderId="1" xfId="1" applyFont="1" applyFill="1" applyBorder="1" applyAlignment="1">
      <alignment horizontal="center" vertical="top" wrapText="1"/>
    </xf>
    <xf numFmtId="0" fontId="89" fillId="20" borderId="0" xfId="0" applyFont="1" applyFill="1" applyBorder="1"/>
    <xf numFmtId="3" fontId="193" fillId="0" borderId="1" xfId="0" applyNumberFormat="1" applyFont="1" applyFill="1" applyBorder="1" applyAlignment="1">
      <alignment horizontal="center" vertical="center" wrapText="1"/>
    </xf>
    <xf numFmtId="0" fontId="284" fillId="0" borderId="0" xfId="0" applyFont="1" applyAlignment="1">
      <alignment vertical="top" wrapText="1"/>
    </xf>
    <xf numFmtId="9" fontId="232" fillId="0" borderId="0" xfId="0" applyNumberFormat="1" applyFont="1" applyAlignment="1">
      <alignment horizontal="center" vertical="center"/>
    </xf>
    <xf numFmtId="0" fontId="198" fillId="0" borderId="0" xfId="0" applyFont="1" applyAlignment="1">
      <alignment horizontal="left" vertical="top" wrapText="1"/>
    </xf>
    <xf numFmtId="1" fontId="302" fillId="0" borderId="0" xfId="0" applyNumberFormat="1" applyFont="1" applyFill="1" applyAlignment="1">
      <alignment horizontal="center"/>
    </xf>
    <xf numFmtId="0" fontId="34" fillId="0" borderId="0" xfId="0" applyFont="1" applyFill="1" applyBorder="1" applyAlignment="1">
      <alignment horizontal="right" vertical="top" wrapText="1"/>
    </xf>
    <xf numFmtId="164" fontId="0" fillId="0" borderId="0" xfId="0" applyNumberFormat="1"/>
    <xf numFmtId="164" fontId="0" fillId="0" borderId="0" xfId="0" applyNumberFormat="1" applyAlignment="1">
      <alignment vertical="center"/>
    </xf>
    <xf numFmtId="164" fontId="149" fillId="0" borderId="0" xfId="0" applyNumberFormat="1" applyFont="1"/>
    <xf numFmtId="0" fontId="265" fillId="0" borderId="0" xfId="0" applyFont="1" applyFill="1" applyAlignment="1">
      <alignment horizontal="left" vertical="center"/>
    </xf>
    <xf numFmtId="3" fontId="214" fillId="0" borderId="0" xfId="0" applyNumberFormat="1" applyFont="1" applyFill="1" applyAlignment="1">
      <alignment horizontal="center"/>
    </xf>
    <xf numFmtId="3" fontId="164" fillId="14" borderId="3" xfId="0" applyNumberFormat="1" applyFont="1" applyFill="1" applyBorder="1" applyAlignment="1">
      <alignment horizontal="center"/>
    </xf>
    <xf numFmtId="0" fontId="196" fillId="0" borderId="1" xfId="0" applyFont="1" applyBorder="1" applyAlignment="1">
      <alignment vertical="top" wrapText="1"/>
    </xf>
    <xf numFmtId="0" fontId="214" fillId="0" borderId="0" xfId="0" applyFont="1" applyFill="1" applyBorder="1" applyAlignment="1">
      <alignment horizontal="center" vertical="center" wrapText="1"/>
    </xf>
    <xf numFmtId="9" fontId="232" fillId="0" borderId="0" xfId="0" applyNumberFormat="1" applyFont="1" applyFill="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center"/>
    </xf>
    <xf numFmtId="0" fontId="0" fillId="0" borderId="0" xfId="0" applyAlignment="1">
      <alignment vertical="center"/>
    </xf>
    <xf numFmtId="0" fontId="208" fillId="0" borderId="0" xfId="0" applyFont="1" applyFill="1" applyBorder="1" applyAlignment="1">
      <alignment horizontal="right" vertical="top" wrapText="1"/>
    </xf>
    <xf numFmtId="0" fontId="36" fillId="0" borderId="0" xfId="0" applyFont="1" applyFill="1" applyBorder="1" applyAlignment="1">
      <alignment vertical="top" wrapText="1"/>
    </xf>
    <xf numFmtId="0" fontId="34" fillId="0" borderId="0" xfId="0" applyFont="1" applyFill="1" applyBorder="1" applyAlignment="1">
      <alignment horizontal="right" vertical="top" wrapText="1"/>
    </xf>
    <xf numFmtId="0" fontId="194" fillId="0" borderId="0" xfId="0" applyFont="1" applyFill="1" applyBorder="1" applyAlignment="1">
      <alignment vertical="top" wrapText="1"/>
    </xf>
    <xf numFmtId="0" fontId="288" fillId="0" borderId="0" xfId="0" applyFont="1" applyFill="1" applyBorder="1" applyAlignment="1">
      <alignment vertical="top" wrapText="1"/>
    </xf>
    <xf numFmtId="0" fontId="340" fillId="0" borderId="0" xfId="0" applyFont="1"/>
    <xf numFmtId="0" fontId="341" fillId="0" borderId="0" xfId="0" applyFont="1" applyAlignment="1">
      <alignment vertical="center" wrapText="1"/>
    </xf>
    <xf numFmtId="0" fontId="265" fillId="0" borderId="6" xfId="0" applyFont="1" applyBorder="1"/>
    <xf numFmtId="0" fontId="0" fillId="14" borderId="0" xfId="0" applyFill="1" applyAlignment="1">
      <alignment horizontal="center" wrapText="1"/>
    </xf>
    <xf numFmtId="0" fontId="0" fillId="13" borderId="0" xfId="0" applyFont="1" applyFill="1" applyAlignment="1">
      <alignment horizontal="center" wrapText="1"/>
    </xf>
    <xf numFmtId="0" fontId="0" fillId="13" borderId="0" xfId="0" applyFill="1" applyAlignment="1">
      <alignment horizontal="center" wrapText="1"/>
    </xf>
    <xf numFmtId="0" fontId="341" fillId="0" borderId="0" xfId="0" applyFont="1" applyAlignment="1">
      <alignment horizontal="left" vertical="center" indent="5"/>
    </xf>
    <xf numFmtId="0" fontId="92" fillId="0" borderId="0" xfId="0" applyFont="1" applyFill="1" applyAlignment="1">
      <alignment horizontal="right"/>
    </xf>
    <xf numFmtId="0" fontId="265" fillId="0" borderId="0" xfId="0" applyFont="1" applyAlignment="1">
      <alignment horizontal="right"/>
    </xf>
    <xf numFmtId="0" fontId="132" fillId="0" borderId="0" xfId="0" applyFont="1" applyFill="1" applyAlignment="1">
      <alignment horizontal="right" vertical="center"/>
    </xf>
    <xf numFmtId="3" fontId="0" fillId="14" borderId="0" xfId="0" applyNumberFormat="1" applyFill="1"/>
    <xf numFmtId="3" fontId="0" fillId="16" borderId="0" xfId="0" applyNumberFormat="1" applyFill="1"/>
    <xf numFmtId="0" fontId="11" fillId="0" borderId="0" xfId="0" applyFont="1" applyAlignment="1">
      <alignment vertical="center"/>
    </xf>
    <xf numFmtId="0" fontId="22" fillId="0" borderId="0" xfId="0" applyFont="1" applyFill="1" applyAlignment="1">
      <alignment vertical="center"/>
    </xf>
    <xf numFmtId="0" fontId="341" fillId="0" borderId="0" xfId="0" applyFont="1" applyAlignment="1">
      <alignment horizontal="left" vertical="center" indent="15"/>
    </xf>
    <xf numFmtId="0" fontId="265" fillId="0" borderId="0" xfId="0" applyFont="1"/>
    <xf numFmtId="9" fontId="0" fillId="0" borderId="0" xfId="0" applyNumberFormat="1"/>
    <xf numFmtId="0" fontId="192" fillId="0" borderId="0" xfId="0" applyFont="1" applyFill="1" applyBorder="1" applyAlignment="1">
      <alignment vertical="top" wrapText="1"/>
    </xf>
    <xf numFmtId="0" fontId="92" fillId="0" borderId="0" xfId="0" applyFont="1" applyAlignment="1">
      <alignment horizontal="left" vertical="center"/>
    </xf>
    <xf numFmtId="164" fontId="289" fillId="0" borderId="0" xfId="0" applyNumberFormat="1" applyFont="1" applyAlignment="1">
      <alignment vertical="center"/>
    </xf>
    <xf numFmtId="164" fontId="289" fillId="0" borderId="0" xfId="0" applyNumberFormat="1" applyFont="1" applyFill="1"/>
    <xf numFmtId="164" fontId="289" fillId="0" borderId="0" xfId="0" applyNumberFormat="1" applyFont="1"/>
    <xf numFmtId="1" fontId="210" fillId="14" borderId="0" xfId="0" applyNumberFormat="1" applyFont="1" applyFill="1" applyAlignment="1">
      <alignment horizontal="center" vertical="center" wrapText="1"/>
    </xf>
    <xf numFmtId="164" fontId="296" fillId="0" borderId="0" xfId="0" applyNumberFormat="1" applyFont="1"/>
    <xf numFmtId="164" fontId="296" fillId="0" borderId="0" xfId="0" applyNumberFormat="1" applyFont="1" applyFill="1"/>
    <xf numFmtId="0" fontId="202" fillId="22" borderId="0" xfId="0" applyFont="1" applyFill="1" applyBorder="1" applyAlignment="1">
      <alignment horizontal="right" vertical="center"/>
    </xf>
    <xf numFmtId="0" fontId="289" fillId="22" borderId="0" xfId="0" applyFont="1" applyFill="1" applyBorder="1" applyAlignment="1">
      <alignment horizontal="center" vertical="top" wrapText="1"/>
    </xf>
    <xf numFmtId="0" fontId="220" fillId="22" borderId="0" xfId="0" applyFont="1" applyFill="1" applyBorder="1" applyAlignment="1">
      <alignment horizontal="center" vertical="top" wrapText="1"/>
    </xf>
    <xf numFmtId="0" fontId="265" fillId="22" borderId="0" xfId="0" applyFont="1" applyFill="1" applyAlignment="1">
      <alignment horizontal="center" vertical="center"/>
    </xf>
    <xf numFmtId="0" fontId="7" fillId="22" borderId="0" xfId="0" applyFont="1" applyFill="1" applyAlignment="1">
      <alignment horizontal="right" vertical="center"/>
    </xf>
    <xf numFmtId="0" fontId="193" fillId="22" borderId="1" xfId="0" applyFont="1" applyFill="1" applyBorder="1" applyAlignment="1">
      <alignment horizontal="center" vertical="center"/>
    </xf>
    <xf numFmtId="0" fontId="193" fillId="22" borderId="0" xfId="0" applyFont="1" applyFill="1" applyBorder="1" applyAlignment="1">
      <alignment horizontal="center" vertical="center"/>
    </xf>
    <xf numFmtId="1" fontId="193" fillId="22" borderId="0" xfId="0" applyNumberFormat="1" applyFont="1" applyFill="1" applyBorder="1" applyAlignment="1">
      <alignment horizontal="center" vertical="center"/>
    </xf>
    <xf numFmtId="164" fontId="26" fillId="22" borderId="0" xfId="0" applyNumberFormat="1" applyFont="1" applyFill="1" applyBorder="1" applyAlignment="1">
      <alignment horizontal="center" vertical="center"/>
    </xf>
    <xf numFmtId="164" fontId="26" fillId="22" borderId="2" xfId="0" applyNumberFormat="1" applyFont="1" applyFill="1" applyBorder="1" applyAlignment="1">
      <alignment horizontal="center" vertical="center"/>
    </xf>
    <xf numFmtId="0" fontId="214" fillId="22" borderId="1" xfId="0" applyFont="1" applyFill="1" applyBorder="1" applyAlignment="1">
      <alignment horizontal="center" vertical="center"/>
    </xf>
    <xf numFmtId="0" fontId="214" fillId="22" borderId="0" xfId="0" applyFont="1" applyFill="1" applyBorder="1" applyAlignment="1">
      <alignment horizontal="center" vertical="center"/>
    </xf>
    <xf numFmtId="0" fontId="214" fillId="22" borderId="0" xfId="0" applyFont="1" applyFill="1" applyAlignment="1">
      <alignment horizontal="center" vertical="center"/>
    </xf>
    <xf numFmtId="164" fontId="209" fillId="22" borderId="0" xfId="0" applyNumberFormat="1" applyFont="1" applyFill="1" applyBorder="1" applyAlignment="1">
      <alignment horizontal="center" vertical="center"/>
    </xf>
    <xf numFmtId="165" fontId="209" fillId="22" borderId="0" xfId="0" applyNumberFormat="1" applyFont="1" applyFill="1" applyBorder="1" applyAlignment="1">
      <alignment horizontal="center" vertical="center"/>
    </xf>
    <xf numFmtId="0" fontId="271" fillId="22" borderId="0" xfId="0" applyFont="1" applyFill="1" applyAlignment="1">
      <alignment horizontal="center"/>
    </xf>
    <xf numFmtId="3" fontId="193" fillId="22" borderId="0" xfId="0" applyNumberFormat="1" applyFont="1" applyFill="1" applyBorder="1" applyAlignment="1">
      <alignment horizontal="center" vertical="center"/>
    </xf>
    <xf numFmtId="164" fontId="75" fillId="22" borderId="0" xfId="0" applyNumberFormat="1" applyFont="1" applyFill="1" applyBorder="1" applyAlignment="1">
      <alignment horizontal="center" vertical="center"/>
    </xf>
    <xf numFmtId="0" fontId="269" fillId="0" borderId="0" xfId="0" applyFont="1" applyAlignment="1">
      <alignment horizontal="center" vertical="center" wrapText="1"/>
    </xf>
    <xf numFmtId="0" fontId="211" fillId="0" borderId="0" xfId="0" applyFont="1" applyAlignment="1">
      <alignment horizontal="center" vertical="center" wrapText="1"/>
    </xf>
    <xf numFmtId="0" fontId="255" fillId="16" borderId="0" xfId="0" applyFont="1" applyFill="1" applyAlignment="1">
      <alignment horizontal="center" vertical="center" wrapText="1"/>
    </xf>
    <xf numFmtId="0" fontId="254" fillId="0" borderId="0" xfId="0" applyFont="1" applyAlignment="1">
      <alignment horizontal="center" vertical="center" wrapText="1"/>
    </xf>
    <xf numFmtId="0" fontId="255" fillId="14" borderId="0" xfId="0" applyFont="1" applyFill="1" applyAlignment="1">
      <alignment horizontal="center" vertical="center" wrapText="1"/>
    </xf>
    <xf numFmtId="0" fontId="9" fillId="0" borderId="0" xfId="0" applyFont="1" applyAlignment="1">
      <alignment horizontal="center" vertical="center" wrapText="1"/>
    </xf>
    <xf numFmtId="0" fontId="0" fillId="0" borderId="0" xfId="0" applyAlignment="1">
      <alignment vertical="center" wrapText="1"/>
    </xf>
    <xf numFmtId="0" fontId="296" fillId="0" borderId="0" xfId="0" applyFont="1" applyFill="1" applyAlignment="1">
      <alignment vertical="top" wrapText="1"/>
    </xf>
    <xf numFmtId="0" fontId="0" fillId="0" borderId="0" xfId="0" applyFont="1" applyFill="1" applyAlignment="1">
      <alignment vertical="top" wrapText="1"/>
    </xf>
    <xf numFmtId="0" fontId="203" fillId="0" borderId="0" xfId="0" applyFont="1" applyFill="1" applyAlignment="1">
      <alignment vertical="top" wrapText="1"/>
    </xf>
    <xf numFmtId="0" fontId="274" fillId="0" borderId="0" xfId="0" applyFont="1" applyFill="1" applyAlignment="1">
      <alignment horizontal="center" vertical="top" wrapText="1"/>
    </xf>
    <xf numFmtId="0" fontId="198" fillId="0" borderId="0" xfId="0" applyFont="1" applyFill="1" applyAlignment="1">
      <alignment horizontal="right" vertical="top" wrapText="1"/>
    </xf>
    <xf numFmtId="0" fontId="198" fillId="0" borderId="0" xfId="0" applyFont="1" applyAlignment="1">
      <alignment horizontal="right" vertical="top" wrapText="1"/>
    </xf>
    <xf numFmtId="0" fontId="205" fillId="0" borderId="0" xfId="0" applyFont="1" applyFill="1" applyAlignment="1">
      <alignment vertical="top" wrapText="1"/>
    </xf>
    <xf numFmtId="0" fontId="289" fillId="0" borderId="0" xfId="0" applyFont="1" applyFill="1" applyAlignment="1">
      <alignment horizontal="center" vertical="top" wrapText="1"/>
    </xf>
    <xf numFmtId="0" fontId="242" fillId="0" borderId="0" xfId="0" applyFont="1" applyFill="1" applyAlignment="1">
      <alignment horizontal="center" vertical="top" wrapText="1"/>
    </xf>
    <xf numFmtId="0" fontId="198" fillId="0" borderId="0" xfId="0" applyFont="1" applyFill="1" applyAlignment="1">
      <alignment vertical="top" wrapText="1"/>
    </xf>
    <xf numFmtId="0" fontId="190" fillId="0" borderId="0" xfId="0" applyFont="1" applyFill="1" applyAlignment="1">
      <alignment horizontal="center" vertical="center"/>
    </xf>
    <xf numFmtId="0" fontId="23" fillId="0" borderId="0" xfId="0" applyFont="1" applyFill="1" applyAlignment="1">
      <alignment horizontal="center" vertical="top" wrapText="1"/>
    </xf>
    <xf numFmtId="0" fontId="6" fillId="0" borderId="0" xfId="0" applyFont="1" applyFill="1" applyAlignment="1">
      <alignment vertical="top" wrapText="1"/>
    </xf>
    <xf numFmtId="0" fontId="183" fillId="0" borderId="0" xfId="0" applyFont="1" applyFill="1" applyAlignment="1">
      <alignment horizontal="center" vertical="top" wrapText="1"/>
    </xf>
    <xf numFmtId="0" fontId="259" fillId="0" borderId="0" xfId="0" applyFont="1" applyAlignment="1">
      <alignment vertical="center" wrapText="1"/>
    </xf>
    <xf numFmtId="0" fontId="260" fillId="0" borderId="0" xfId="0" applyFont="1" applyAlignment="1">
      <alignment vertical="center" wrapText="1"/>
    </xf>
    <xf numFmtId="0" fontId="194" fillId="0" borderId="0" xfId="0" applyFont="1" applyFill="1" applyAlignment="1">
      <alignment vertical="top" wrapText="1"/>
    </xf>
    <xf numFmtId="0" fontId="331" fillId="0" borderId="0" xfId="0" applyFont="1" applyFill="1" applyAlignment="1">
      <alignment vertical="top" wrapText="1"/>
    </xf>
    <xf numFmtId="0" fontId="23" fillId="0" borderId="0" xfId="0" applyFont="1" applyFill="1" applyAlignment="1">
      <alignment vertical="top" wrapText="1"/>
    </xf>
    <xf numFmtId="0" fontId="0" fillId="0" borderId="0" xfId="0" applyFill="1" applyAlignment="1">
      <alignment vertical="top" wrapText="1"/>
    </xf>
    <xf numFmtId="0" fontId="97" fillId="9" borderId="1" xfId="0" applyFont="1" applyFill="1" applyBorder="1" applyAlignment="1">
      <alignment horizontal="center" vertical="center" wrapText="1"/>
    </xf>
    <xf numFmtId="0" fontId="97" fillId="9"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02" fillId="0" borderId="0" xfId="0" applyFont="1" applyFill="1" applyAlignment="1">
      <alignment vertical="top" wrapText="1"/>
    </xf>
    <xf numFmtId="0" fontId="116" fillId="0" borderId="0" xfId="0" applyFont="1" applyFill="1" applyAlignment="1">
      <alignment horizontal="center" vertical="top" wrapText="1"/>
    </xf>
    <xf numFmtId="0" fontId="274" fillId="0" borderId="0" xfId="0" applyFont="1" applyFill="1" applyAlignment="1">
      <alignment vertical="top" wrapText="1"/>
    </xf>
    <xf numFmtId="165" fontId="203" fillId="0" borderId="0" xfId="0" applyNumberFormat="1" applyFont="1" applyFill="1" applyAlignment="1">
      <alignment horizontal="right" vertical="top" wrapText="1"/>
    </xf>
    <xf numFmtId="0" fontId="198" fillId="0" borderId="0" xfId="0" applyFont="1" applyFill="1" applyAlignment="1">
      <alignment horizontal="center" vertical="top" wrapText="1"/>
    </xf>
    <xf numFmtId="0" fontId="203" fillId="0" borderId="0" xfId="0" applyFont="1" applyFill="1" applyAlignment="1">
      <alignment horizontal="left" vertical="top" wrapText="1"/>
    </xf>
    <xf numFmtId="0" fontId="282" fillId="0" borderId="0" xfId="0" applyFont="1" applyFill="1" applyAlignment="1">
      <alignment vertical="top" wrapText="1"/>
    </xf>
    <xf numFmtId="0" fontId="275" fillId="0" borderId="0" xfId="0" applyFont="1" applyFill="1" applyAlignment="1">
      <alignment vertical="top" wrapText="1"/>
    </xf>
    <xf numFmtId="0" fontId="280" fillId="0" borderId="0" xfId="0" applyFont="1" applyFill="1" applyAlignment="1">
      <alignment vertical="top" wrapText="1"/>
    </xf>
    <xf numFmtId="0" fontId="281" fillId="0" borderId="0" xfId="0" applyFont="1" applyFill="1" applyAlignment="1">
      <alignment vertical="top" wrapText="1"/>
    </xf>
    <xf numFmtId="0" fontId="128" fillId="0" borderId="0" xfId="0" applyFont="1" applyFill="1" applyAlignment="1">
      <alignment horizontal="center" vertical="top" wrapText="1"/>
    </xf>
    <xf numFmtId="0" fontId="129" fillId="0" borderId="0" xfId="0" applyFont="1" applyFill="1" applyAlignment="1">
      <alignment horizontal="center" vertical="top" wrapText="1"/>
    </xf>
    <xf numFmtId="0" fontId="195" fillId="0" borderId="0" xfId="0" applyFont="1" applyFill="1" applyAlignment="1">
      <alignment horizontal="center" vertical="top" wrapText="1"/>
    </xf>
    <xf numFmtId="0" fontId="195" fillId="0" borderId="0" xfId="0" applyFont="1" applyAlignment="1">
      <alignment vertical="top" wrapText="1"/>
    </xf>
    <xf numFmtId="0" fontId="338" fillId="0" borderId="0" xfId="0" applyFont="1" applyFill="1" applyAlignment="1">
      <alignment horizontal="center" vertical="top" wrapText="1"/>
    </xf>
    <xf numFmtId="0" fontId="242" fillId="0" borderId="0" xfId="0" applyFont="1" applyFill="1" applyAlignment="1">
      <alignment vertical="top" wrapText="1"/>
    </xf>
    <xf numFmtId="0" fontId="289" fillId="0" borderId="0" xfId="0" applyFont="1" applyFill="1" applyAlignment="1">
      <alignment horizontal="left" vertical="top" wrapText="1"/>
    </xf>
    <xf numFmtId="165" fontId="195" fillId="0" borderId="0" xfId="0" applyNumberFormat="1" applyFont="1" applyFill="1" applyAlignment="1">
      <alignment horizontal="right" vertical="top" wrapText="1"/>
    </xf>
    <xf numFmtId="0" fontId="27" fillId="0" borderId="0" xfId="0" applyFont="1" applyFill="1" applyAlignment="1">
      <alignment vertical="top" wrapText="1"/>
    </xf>
    <xf numFmtId="0" fontId="185" fillId="0" borderId="0" xfId="0" applyFont="1" applyFill="1" applyAlignment="1">
      <alignment horizontal="center" vertical="top" wrapText="1"/>
    </xf>
    <xf numFmtId="0" fontId="183" fillId="0" borderId="0" xfId="0" applyFont="1" applyFill="1" applyAlignment="1">
      <alignment vertical="top" wrapText="1"/>
    </xf>
    <xf numFmtId="0" fontId="29" fillId="0" borderId="0" xfId="0" applyFont="1" applyFill="1" applyAlignment="1">
      <alignment vertical="top" wrapText="1"/>
    </xf>
    <xf numFmtId="0" fontId="98" fillId="0" borderId="0" xfId="0" applyFont="1" applyFill="1" applyAlignment="1">
      <alignment vertical="top" wrapText="1"/>
    </xf>
    <xf numFmtId="0" fontId="97" fillId="15" borderId="1" xfId="0" applyFont="1" applyFill="1" applyBorder="1" applyAlignment="1">
      <alignment horizontal="center" vertical="center" wrapText="1"/>
    </xf>
    <xf numFmtId="0" fontId="97" fillId="15" borderId="0" xfId="0" applyFont="1" applyFill="1" applyBorder="1" applyAlignment="1">
      <alignment horizontal="center" vertical="center" wrapText="1"/>
    </xf>
    <xf numFmtId="0" fontId="0" fillId="16" borderId="0" xfId="0" applyFill="1" applyBorder="1" applyAlignment="1">
      <alignment horizontal="center" vertical="center" wrapText="1"/>
    </xf>
    <xf numFmtId="0" fontId="0" fillId="16" borderId="0" xfId="0" applyFill="1" applyAlignment="1">
      <alignment horizontal="center" wrapText="1"/>
    </xf>
    <xf numFmtId="0" fontId="95" fillId="0" borderId="0" xfId="0" applyFont="1" applyFill="1" applyAlignment="1">
      <alignment horizontal="center" vertical="top" wrapText="1"/>
    </xf>
    <xf numFmtId="0" fontId="23" fillId="0" borderId="0" xfId="0" applyFont="1" applyAlignment="1">
      <alignment horizontal="center" vertical="top" wrapText="1"/>
    </xf>
    <xf numFmtId="0" fontId="0" fillId="0" borderId="0" xfId="0" applyAlignment="1">
      <alignment vertical="top" wrapText="1"/>
    </xf>
    <xf numFmtId="0" fontId="29" fillId="0" borderId="0" xfId="0" applyFont="1" applyAlignment="1">
      <alignment horizontal="center" vertical="top" wrapText="1"/>
    </xf>
    <xf numFmtId="0" fontId="254" fillId="0" borderId="0" xfId="0" applyFont="1" applyAlignment="1">
      <alignment horizontal="left" vertical="top" wrapText="1"/>
    </xf>
    <xf numFmtId="0" fontId="185" fillId="0" borderId="0" xfId="0" applyFont="1" applyAlignment="1">
      <alignment horizontal="center" vertical="top" wrapText="1"/>
    </xf>
    <xf numFmtId="0" fontId="183" fillId="0" borderId="0" xfId="0" applyFont="1" applyAlignment="1">
      <alignment vertical="top" wrapText="1"/>
    </xf>
    <xf numFmtId="0" fontId="187" fillId="0" borderId="0" xfId="0" applyFont="1" applyFill="1" applyAlignment="1">
      <alignment horizontal="left" vertical="top" wrapText="1"/>
    </xf>
    <xf numFmtId="0" fontId="206" fillId="0" borderId="0" xfId="0" applyFont="1" applyFill="1" applyAlignment="1">
      <alignment vertical="center" wrapText="1"/>
    </xf>
    <xf numFmtId="0" fontId="207" fillId="0" borderId="0" xfId="0" applyFont="1" applyFill="1" applyAlignment="1">
      <alignment vertical="center" wrapText="1"/>
    </xf>
    <xf numFmtId="0" fontId="0" fillId="0" borderId="0" xfId="0" applyFill="1" applyAlignment="1">
      <alignment vertical="center" wrapText="1"/>
    </xf>
    <xf numFmtId="0" fontId="211" fillId="0" borderId="0" xfId="0" applyFont="1" applyFill="1" applyAlignment="1">
      <alignment horizontal="center" vertical="center" wrapText="1"/>
    </xf>
    <xf numFmtId="0" fontId="311" fillId="3" borderId="1" xfId="0" applyFont="1" applyFill="1" applyBorder="1" applyAlignment="1">
      <alignment horizontal="center" vertical="center" wrapText="1"/>
    </xf>
    <xf numFmtId="0" fontId="313" fillId="3" borderId="0" xfId="0" applyFont="1" applyFill="1" applyBorder="1" applyAlignment="1">
      <alignment horizontal="center" vertical="center" wrapText="1"/>
    </xf>
    <xf numFmtId="0" fontId="314" fillId="9" borderId="1" xfId="0" applyFont="1" applyFill="1" applyBorder="1" applyAlignment="1">
      <alignment horizontal="center" vertical="center"/>
    </xf>
    <xf numFmtId="0" fontId="314" fillId="9" borderId="5" xfId="0" applyFont="1" applyFill="1" applyBorder="1" applyAlignment="1">
      <alignment horizontal="center" vertical="center"/>
    </xf>
    <xf numFmtId="0" fontId="311" fillId="2" borderId="1" xfId="0" applyFont="1" applyFill="1" applyBorder="1" applyAlignment="1">
      <alignment horizontal="center" vertical="center"/>
    </xf>
    <xf numFmtId="0" fontId="311" fillId="2" borderId="0" xfId="0" applyFont="1" applyFill="1" applyBorder="1" applyAlignment="1">
      <alignment horizontal="center" vertical="center"/>
    </xf>
    <xf numFmtId="0" fontId="314" fillId="2" borderId="1" xfId="0" applyFont="1" applyFill="1" applyBorder="1" applyAlignment="1">
      <alignment horizontal="center" vertical="center"/>
    </xf>
    <xf numFmtId="0" fontId="314" fillId="2" borderId="2" xfId="0" applyFont="1" applyFill="1" applyBorder="1" applyAlignment="1">
      <alignment horizontal="center" vertical="center"/>
    </xf>
    <xf numFmtId="0" fontId="289" fillId="19" borderId="1"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3" fillId="0" borderId="0" xfId="0" applyFont="1" applyBorder="1" applyAlignment="1">
      <alignment vertical="center"/>
    </xf>
    <xf numFmtId="0" fontId="86" fillId="0" borderId="0" xfId="0" applyFont="1" applyBorder="1" applyAlignment="1">
      <alignment vertical="center"/>
    </xf>
    <xf numFmtId="0" fontId="0" fillId="0" borderId="0" xfId="0" applyAlignment="1">
      <alignment vertical="center"/>
    </xf>
    <xf numFmtId="0" fontId="310" fillId="9" borderId="1" xfId="0" applyFont="1" applyFill="1" applyBorder="1" applyAlignment="1">
      <alignment horizontal="center" vertical="center" wrapText="1"/>
    </xf>
    <xf numFmtId="0" fontId="289" fillId="3" borderId="0" xfId="0" applyFont="1" applyFill="1" applyBorder="1" applyAlignment="1">
      <alignment horizontal="center" vertical="center" wrapText="1"/>
    </xf>
    <xf numFmtId="0" fontId="289" fillId="3" borderId="2" xfId="0" applyFont="1" applyFill="1" applyBorder="1" applyAlignment="1">
      <alignment horizontal="center" vertical="center" wrapText="1"/>
    </xf>
    <xf numFmtId="0" fontId="27" fillId="0" borderId="1" xfId="0" applyFont="1" applyFill="1" applyBorder="1" applyAlignment="1">
      <alignment horizontal="left" vertical="top" wrapText="1"/>
    </xf>
    <xf numFmtId="0" fontId="205" fillId="0" borderId="0" xfId="0" applyFont="1" applyFill="1" applyBorder="1" applyAlignment="1">
      <alignment horizontal="left" vertical="top" wrapText="1"/>
    </xf>
    <xf numFmtId="0" fontId="205" fillId="0" borderId="0" xfId="0" applyFont="1" applyFill="1" applyAlignment="1">
      <alignment horizontal="left" vertical="top" wrapText="1"/>
    </xf>
    <xf numFmtId="0" fontId="284" fillId="0" borderId="1" xfId="0" applyFont="1" applyFill="1" applyBorder="1" applyAlignment="1">
      <alignment horizontal="left" vertical="top" wrapText="1"/>
    </xf>
    <xf numFmtId="0" fontId="0" fillId="0" borderId="1" xfId="0" applyBorder="1" applyAlignment="1">
      <alignment vertical="top" wrapText="1"/>
    </xf>
    <xf numFmtId="0" fontId="312" fillId="4" borderId="1" xfId="0" applyFont="1" applyFill="1" applyBorder="1" applyAlignment="1">
      <alignment horizontal="center" vertical="center"/>
    </xf>
    <xf numFmtId="0" fontId="293" fillId="4" borderId="2" xfId="0" applyFont="1" applyFill="1" applyBorder="1" applyAlignment="1">
      <alignment horizontal="center" vertical="center"/>
    </xf>
    <xf numFmtId="0" fontId="212" fillId="19" borderId="0" xfId="0" applyFont="1" applyFill="1" applyBorder="1" applyAlignment="1">
      <alignment horizontal="center" vertical="center"/>
    </xf>
    <xf numFmtId="0" fontId="212" fillId="0" borderId="0" xfId="0" applyFont="1" applyAlignment="1">
      <alignment horizontal="center" vertical="center"/>
    </xf>
    <xf numFmtId="0" fontId="212" fillId="0" borderId="5" xfId="0" applyFont="1" applyBorder="1" applyAlignment="1">
      <alignment horizontal="center" vertical="center"/>
    </xf>
    <xf numFmtId="0" fontId="190" fillId="0" borderId="0" xfId="0" applyFont="1" applyAlignment="1">
      <alignment horizontal="center" vertical="center"/>
    </xf>
    <xf numFmtId="0" fontId="0" fillId="0" borderId="0" xfId="0" applyAlignment="1"/>
    <xf numFmtId="0" fontId="311" fillId="4" borderId="1" xfId="0" applyFont="1" applyFill="1" applyBorder="1" applyAlignment="1">
      <alignment horizontal="center" vertical="center"/>
    </xf>
    <xf numFmtId="0" fontId="311" fillId="4" borderId="2" xfId="0" applyFont="1" applyFill="1" applyBorder="1" applyAlignment="1">
      <alignment horizontal="center" vertical="center"/>
    </xf>
    <xf numFmtId="0" fontId="289" fillId="4" borderId="2" xfId="0" applyFont="1" applyFill="1" applyBorder="1" applyAlignment="1">
      <alignment horizontal="center" vertical="center"/>
    </xf>
    <xf numFmtId="0" fontId="311" fillId="4" borderId="0" xfId="0" applyFont="1" applyFill="1" applyBorder="1" applyAlignment="1">
      <alignment horizontal="center" vertical="center"/>
    </xf>
    <xf numFmtId="0" fontId="311" fillId="5" borderId="1" xfId="0" applyFont="1" applyFill="1" applyBorder="1" applyAlignment="1">
      <alignment horizontal="center" vertical="center"/>
    </xf>
    <xf numFmtId="0" fontId="311" fillId="5" borderId="0" xfId="0" applyFont="1" applyFill="1" applyBorder="1" applyAlignment="1">
      <alignment horizontal="center" vertical="center"/>
    </xf>
    <xf numFmtId="0" fontId="0" fillId="0" borderId="0" xfId="0" applyFill="1" applyBorder="1" applyAlignment="1">
      <alignment vertical="top" wrapText="1"/>
    </xf>
    <xf numFmtId="0" fontId="29" fillId="0" borderId="1" xfId="0" applyFont="1" applyFill="1" applyBorder="1" applyAlignment="1">
      <alignment horizontal="left" vertical="top" wrapText="1"/>
    </xf>
    <xf numFmtId="0" fontId="310" fillId="5" borderId="1" xfId="0" applyFont="1" applyFill="1" applyBorder="1" applyAlignment="1">
      <alignment horizontal="center" vertical="center" wrapText="1"/>
    </xf>
    <xf numFmtId="0" fontId="310" fillId="5" borderId="0" xfId="0" applyFont="1" applyFill="1" applyBorder="1" applyAlignment="1">
      <alignment horizontal="center" vertical="center" wrapText="1"/>
    </xf>
    <xf numFmtId="0" fontId="310" fillId="3" borderId="1" xfId="0" applyFont="1" applyFill="1" applyBorder="1" applyAlignment="1">
      <alignment horizontal="center" vertical="center" wrapText="1"/>
    </xf>
    <xf numFmtId="0" fontId="289" fillId="3" borderId="0" xfId="0" applyFont="1" applyFill="1" applyBorder="1" applyAlignment="1">
      <alignment vertical="center" wrapText="1"/>
    </xf>
    <xf numFmtId="0" fontId="289" fillId="3" borderId="2" xfId="0" applyFont="1" applyFill="1" applyBorder="1" applyAlignment="1">
      <alignment vertical="center" wrapText="1"/>
    </xf>
    <xf numFmtId="0" fontId="134" fillId="0" borderId="0" xfId="0" applyFont="1" applyAlignment="1">
      <alignment vertical="center"/>
    </xf>
    <xf numFmtId="0" fontId="311" fillId="5" borderId="2" xfId="0" applyFont="1" applyFill="1" applyBorder="1" applyAlignment="1">
      <alignment horizontal="center" vertical="center"/>
    </xf>
    <xf numFmtId="0" fontId="212" fillId="19" borderId="1" xfId="0" applyFont="1" applyFill="1" applyBorder="1" applyAlignment="1">
      <alignment horizontal="center" vertical="center"/>
    </xf>
    <xf numFmtId="0" fontId="314" fillId="2" borderId="0" xfId="0" applyFont="1" applyFill="1" applyBorder="1" applyAlignment="1">
      <alignment horizontal="center" vertical="center"/>
    </xf>
    <xf numFmtId="0" fontId="311" fillId="2" borderId="2" xfId="0" applyFont="1" applyFill="1" applyBorder="1" applyAlignment="1">
      <alignment horizontal="center" vertical="center"/>
    </xf>
    <xf numFmtId="0" fontId="3" fillId="17" borderId="0" xfId="0" applyFont="1" applyFill="1" applyBorder="1" applyAlignment="1">
      <alignment vertical="center"/>
    </xf>
    <xf numFmtId="0" fontId="86" fillId="17" borderId="0" xfId="0" applyFont="1" applyFill="1" applyBorder="1" applyAlignment="1">
      <alignment vertical="center"/>
    </xf>
    <xf numFmtId="0" fontId="0" fillId="17" borderId="0" xfId="0" applyFill="1" applyAlignment="1">
      <alignment vertical="center"/>
    </xf>
    <xf numFmtId="0" fontId="314" fillId="2" borderId="4" xfId="0" applyFont="1" applyFill="1" applyBorder="1" applyAlignment="1">
      <alignment horizontal="center" vertical="center"/>
    </xf>
    <xf numFmtId="0" fontId="314" fillId="2" borderId="5" xfId="0" applyFont="1" applyFill="1" applyBorder="1" applyAlignment="1">
      <alignment horizontal="center" vertical="center"/>
    </xf>
    <xf numFmtId="164" fontId="289" fillId="0" borderId="2" xfId="0" applyNumberFormat="1" applyFont="1" applyFill="1" applyBorder="1" applyAlignment="1">
      <alignment horizontal="right" vertical="top" wrapText="1"/>
    </xf>
    <xf numFmtId="0" fontId="289" fillId="0" borderId="2" xfId="0" applyFont="1" applyFill="1" applyBorder="1" applyAlignment="1">
      <alignment vertical="top" wrapText="1"/>
    </xf>
    <xf numFmtId="0" fontId="266" fillId="0" borderId="0" xfId="0" applyFont="1" applyBorder="1" applyAlignment="1">
      <alignment vertical="center"/>
    </xf>
    <xf numFmtId="0" fontId="210" fillId="0" borderId="0" xfId="0" applyFont="1" applyAlignment="1">
      <alignment vertical="center"/>
    </xf>
    <xf numFmtId="0" fontId="310" fillId="9" borderId="0" xfId="0" applyFont="1" applyFill="1" applyBorder="1" applyAlignment="1">
      <alignment horizontal="center" vertical="center" wrapText="1"/>
    </xf>
    <xf numFmtId="0" fontId="289" fillId="3" borderId="0" xfId="0" applyFont="1" applyFill="1" applyAlignment="1">
      <alignment horizontal="center" vertical="center" wrapText="1"/>
    </xf>
    <xf numFmtId="0" fontId="262" fillId="16" borderId="0" xfId="0" applyFont="1" applyFill="1" applyAlignment="1">
      <alignment horizontal="center" vertical="center" wrapText="1"/>
    </xf>
    <xf numFmtId="0" fontId="264" fillId="0" borderId="0" xfId="0" applyFont="1" applyAlignment="1">
      <alignment horizontal="center" vertical="center" wrapText="1"/>
    </xf>
    <xf numFmtId="0" fontId="310" fillId="4" borderId="1" xfId="0" applyFont="1" applyFill="1" applyBorder="1" applyAlignment="1">
      <alignment horizontal="center" vertical="center" wrapText="1"/>
    </xf>
    <xf numFmtId="0" fontId="310" fillId="4" borderId="0" xfId="0" applyFont="1" applyFill="1" applyBorder="1" applyAlignment="1">
      <alignment horizontal="center" vertical="center" wrapText="1"/>
    </xf>
    <xf numFmtId="0" fontId="313" fillId="4" borderId="0" xfId="0" applyFont="1" applyFill="1" applyAlignment="1">
      <alignment horizontal="center" vertical="center" wrapText="1"/>
    </xf>
    <xf numFmtId="0" fontId="313" fillId="4" borderId="0" xfId="0" applyFont="1" applyFill="1" applyBorder="1" applyAlignment="1">
      <alignment horizontal="center" vertical="center" wrapText="1"/>
    </xf>
    <xf numFmtId="0" fontId="262" fillId="18" borderId="0" xfId="0" applyFont="1" applyFill="1" applyAlignment="1">
      <alignment horizontal="center" vertical="center" wrapText="1"/>
    </xf>
    <xf numFmtId="0" fontId="265" fillId="0" borderId="0" xfId="0" applyFont="1" applyAlignment="1">
      <alignment horizontal="center" vertical="center" wrapText="1"/>
    </xf>
    <xf numFmtId="0" fontId="262" fillId="14" borderId="0" xfId="0" applyFont="1" applyFill="1" applyAlignment="1">
      <alignment horizontal="center" vertical="center" wrapText="1"/>
    </xf>
    <xf numFmtId="0" fontId="240" fillId="0" borderId="0" xfId="0" applyFont="1" applyFill="1" applyAlignment="1">
      <alignment horizontal="left" vertical="top" wrapText="1"/>
    </xf>
    <xf numFmtId="0" fontId="195" fillId="0" borderId="0" xfId="0" applyFont="1" applyFill="1" applyAlignment="1">
      <alignment horizontal="left" vertical="top" wrapText="1"/>
    </xf>
    <xf numFmtId="0" fontId="195" fillId="0" borderId="2" xfId="0" applyFont="1" applyFill="1" applyBorder="1" applyAlignment="1">
      <alignment horizontal="right" vertical="top" wrapText="1"/>
    </xf>
    <xf numFmtId="164" fontId="289" fillId="0" borderId="0" xfId="0" applyNumberFormat="1" applyFont="1" applyFill="1" applyBorder="1" applyAlignment="1">
      <alignment horizontal="left" vertical="top" wrapText="1"/>
    </xf>
    <xf numFmtId="0" fontId="205" fillId="0" borderId="0" xfId="0" applyFont="1" applyFill="1" applyBorder="1" applyAlignment="1">
      <alignment horizontal="right" vertical="top" wrapText="1"/>
    </xf>
    <xf numFmtId="0" fontId="205" fillId="0" borderId="0" xfId="0" applyFont="1" applyFill="1" applyAlignment="1">
      <alignment horizontal="right" vertical="top" wrapText="1"/>
    </xf>
    <xf numFmtId="0" fontId="196" fillId="0" borderId="2" xfId="0" applyFont="1" applyBorder="1" applyAlignment="1">
      <alignment vertical="top" wrapText="1"/>
    </xf>
    <xf numFmtId="0" fontId="0" fillId="0" borderId="2" xfId="0" applyFont="1" applyBorder="1" applyAlignment="1">
      <alignment vertical="top" wrapText="1"/>
    </xf>
    <xf numFmtId="0" fontId="296" fillId="0" borderId="0" xfId="0" applyFont="1" applyFill="1" applyBorder="1" applyAlignment="1">
      <alignment horizontal="right" vertical="top" wrapText="1"/>
    </xf>
    <xf numFmtId="0" fontId="296" fillId="0" borderId="0" xfId="0" applyFont="1" applyAlignment="1">
      <alignment horizontal="right" vertical="top" wrapText="1"/>
    </xf>
    <xf numFmtId="0" fontId="205" fillId="0" borderId="0" xfId="0" applyFont="1" applyFill="1" applyBorder="1" applyAlignment="1">
      <alignment vertical="top" wrapText="1"/>
    </xf>
    <xf numFmtId="0" fontId="200" fillId="0" borderId="0" xfId="0" applyFont="1" applyFill="1" applyBorder="1" applyAlignment="1">
      <alignment horizontal="left" vertical="top" wrapText="1"/>
    </xf>
    <xf numFmtId="165" fontId="205"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199" fillId="0" borderId="0" xfId="0" applyFont="1" applyBorder="1" applyAlignment="1">
      <alignment horizontal="left" vertical="top" wrapText="1"/>
    </xf>
    <xf numFmtId="0" fontId="200" fillId="0" borderId="0" xfId="0" applyFont="1" applyBorder="1" applyAlignment="1">
      <alignment vertical="top" wrapText="1"/>
    </xf>
    <xf numFmtId="0" fontId="208" fillId="0" borderId="0" xfId="0" applyFont="1" applyFill="1" applyBorder="1" applyAlignment="1">
      <alignment horizontal="right" vertical="top" wrapText="1"/>
    </xf>
    <xf numFmtId="0" fontId="242" fillId="0" borderId="0" xfId="0" applyFont="1" applyAlignment="1">
      <alignment vertical="top" wrapText="1"/>
    </xf>
    <xf numFmtId="0" fontId="36" fillId="0" borderId="0" xfId="0" applyFont="1" applyFill="1" applyBorder="1" applyAlignment="1">
      <alignment vertical="top" wrapText="1"/>
    </xf>
    <xf numFmtId="0" fontId="258" fillId="0" borderId="2" xfId="0" applyFont="1" applyFill="1" applyBorder="1" applyAlignment="1">
      <alignment horizontal="right" vertical="top" wrapText="1"/>
    </xf>
    <xf numFmtId="0" fontId="258" fillId="0" borderId="2" xfId="0" applyFont="1" applyFill="1" applyBorder="1" applyAlignment="1">
      <alignment vertical="top" wrapText="1"/>
    </xf>
    <xf numFmtId="0" fontId="235" fillId="0" borderId="1" xfId="0" applyFont="1" applyFill="1" applyBorder="1" applyAlignment="1">
      <alignment horizontal="left" vertical="top" wrapText="1"/>
    </xf>
    <xf numFmtId="0" fontId="235" fillId="0" borderId="0" xfId="0" applyFont="1" applyFill="1" applyBorder="1" applyAlignment="1">
      <alignment horizontal="left" vertical="top" wrapText="1"/>
    </xf>
    <xf numFmtId="0" fontId="238" fillId="0" borderId="0" xfId="0" applyFont="1" applyFill="1" applyAlignment="1">
      <alignment horizontal="right" vertical="top" wrapText="1"/>
    </xf>
    <xf numFmtId="0" fontId="208" fillId="0" borderId="0" xfId="0" applyFont="1" applyFill="1" applyAlignment="1">
      <alignment horizontal="right" vertical="top" wrapText="1"/>
    </xf>
    <xf numFmtId="0" fontId="257" fillId="0" borderId="0" xfId="0" applyFont="1" applyFill="1" applyBorder="1" applyAlignment="1">
      <alignment horizontal="right" vertical="top" wrapText="1"/>
    </xf>
    <xf numFmtId="0" fontId="257" fillId="0" borderId="0" xfId="0" applyFont="1" applyFill="1" applyAlignment="1">
      <alignment horizontal="right" vertical="top" wrapText="1"/>
    </xf>
    <xf numFmtId="0" fontId="87" fillId="0" borderId="0" xfId="0" applyFont="1" applyAlignment="1">
      <alignment vertical="top" wrapText="1"/>
    </xf>
    <xf numFmtId="0" fontId="89" fillId="0" borderId="0" xfId="0" applyFont="1" applyAlignment="1">
      <alignment vertical="top" wrapText="1"/>
    </xf>
    <xf numFmtId="0" fontId="0" fillId="0" borderId="0" xfId="0" applyFont="1" applyAlignment="1">
      <alignment wrapText="1"/>
    </xf>
    <xf numFmtId="0" fontId="97" fillId="11" borderId="0" xfId="0" applyFont="1" applyFill="1" applyBorder="1" applyAlignment="1">
      <alignment horizontal="center" vertical="center"/>
    </xf>
    <xf numFmtId="0" fontId="97" fillId="11" borderId="0" xfId="0" applyFont="1" applyFill="1" applyAlignment="1">
      <alignment horizontal="center" vertical="center"/>
    </xf>
    <xf numFmtId="0" fontId="97" fillId="11" borderId="5"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2" xfId="0" applyFont="1" applyFill="1" applyBorder="1" applyAlignment="1">
      <alignment horizontal="center" vertical="center"/>
    </xf>
    <xf numFmtId="0" fontId="19" fillId="11" borderId="0" xfId="0" applyFont="1" applyFill="1" applyAlignment="1">
      <alignment horizontal="center" vertical="center"/>
    </xf>
    <xf numFmtId="0" fontId="19" fillId="11" borderId="5" xfId="0" applyFont="1" applyFill="1" applyBorder="1" applyAlignment="1">
      <alignment horizontal="center" vertical="center"/>
    </xf>
    <xf numFmtId="0" fontId="17" fillId="9" borderId="1" xfId="0" applyFont="1" applyFill="1" applyBorder="1" applyAlignment="1">
      <alignment horizontal="center" vertical="center"/>
    </xf>
    <xf numFmtId="0" fontId="17" fillId="9" borderId="5" xfId="0" applyFont="1" applyFill="1" applyBorder="1" applyAlignment="1">
      <alignment horizontal="center" vertical="center"/>
    </xf>
    <xf numFmtId="0" fontId="16" fillId="3" borderId="1"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7" fillId="6" borderId="4" xfId="0" applyFont="1" applyFill="1" applyBorder="1" applyAlignment="1">
      <alignment horizontal="center" vertical="center"/>
    </xf>
    <xf numFmtId="0" fontId="17" fillId="6" borderId="5" xfId="0" applyFont="1" applyFill="1" applyBorder="1" applyAlignment="1">
      <alignment horizontal="center" vertical="center"/>
    </xf>
    <xf numFmtId="0" fontId="312" fillId="5" borderId="0" xfId="0" applyFont="1" applyFill="1" applyBorder="1" applyAlignment="1">
      <alignment horizontal="center" vertical="center"/>
    </xf>
    <xf numFmtId="0" fontId="147" fillId="0" borderId="4" xfId="0" applyFont="1" applyFill="1" applyBorder="1" applyAlignment="1">
      <alignment horizontal="left" vertical="top" wrapText="1"/>
    </xf>
    <xf numFmtId="0" fontId="149" fillId="0" borderId="0" xfId="0" applyFont="1" applyFill="1" applyAlignment="1">
      <alignment vertical="top" wrapText="1"/>
    </xf>
    <xf numFmtId="0" fontId="310" fillId="5" borderId="4" xfId="0" applyFont="1" applyFill="1" applyBorder="1" applyAlignment="1">
      <alignment horizontal="center" vertical="center" wrapText="1"/>
    </xf>
    <xf numFmtId="0" fontId="310" fillId="9" borderId="0" xfId="0" applyFont="1" applyFill="1" applyAlignment="1">
      <alignment horizontal="center" vertical="center" wrapText="1"/>
    </xf>
    <xf numFmtId="0" fontId="310" fillId="9" borderId="5" xfId="0" applyFont="1" applyFill="1" applyBorder="1" applyAlignment="1">
      <alignment horizontal="center" vertical="center" wrapText="1"/>
    </xf>
    <xf numFmtId="0" fontId="312" fillId="6" borderId="1" xfId="0" applyFont="1" applyFill="1" applyBorder="1" applyAlignment="1">
      <alignment horizontal="center" vertical="center"/>
    </xf>
    <xf numFmtId="0" fontId="312" fillId="6" borderId="0"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4" fillId="0" borderId="1" xfId="0" applyFont="1" applyBorder="1" applyAlignment="1">
      <alignment horizontal="left" vertical="top" wrapText="1"/>
    </xf>
    <xf numFmtId="164" fontId="195" fillId="0" borderId="2" xfId="0" applyNumberFormat="1" applyFont="1" applyFill="1" applyBorder="1" applyAlignment="1">
      <alignment horizontal="right" vertical="top" wrapText="1"/>
    </xf>
    <xf numFmtId="0" fontId="242" fillId="0" borderId="0" xfId="0" applyFont="1" applyFill="1" applyAlignment="1">
      <alignment horizontal="right" vertical="top" wrapText="1"/>
    </xf>
    <xf numFmtId="0" fontId="34" fillId="0" borderId="1" xfId="0" applyFont="1" applyFill="1" applyBorder="1" applyAlignment="1">
      <alignment vertical="top" wrapText="1"/>
    </xf>
    <xf numFmtId="1" fontId="205" fillId="0" borderId="2" xfId="0" applyNumberFormat="1" applyFont="1" applyFill="1" applyBorder="1" applyAlignment="1">
      <alignment horizontal="left" vertical="top" wrapText="1"/>
    </xf>
    <xf numFmtId="0" fontId="205" fillId="0" borderId="2" xfId="0" applyFont="1" applyFill="1" applyBorder="1" applyAlignment="1">
      <alignment horizontal="left" vertical="top" wrapText="1"/>
    </xf>
    <xf numFmtId="0" fontId="208" fillId="0" borderId="0" xfId="0" applyFont="1" applyFill="1" applyBorder="1" applyAlignment="1">
      <alignment vertical="top" wrapText="1"/>
    </xf>
    <xf numFmtId="0" fontId="242" fillId="0" borderId="0" xfId="0" applyFont="1" applyFill="1" applyBorder="1" applyAlignment="1">
      <alignment vertical="top" wrapText="1"/>
    </xf>
    <xf numFmtId="0" fontId="28" fillId="6" borderId="1" xfId="0" applyFont="1" applyFill="1" applyBorder="1" applyAlignment="1">
      <alignment horizontal="center" vertical="center"/>
    </xf>
    <xf numFmtId="0" fontId="28" fillId="6" borderId="0" xfId="0" applyFont="1" applyFill="1" applyBorder="1" applyAlignment="1">
      <alignment horizontal="center" vertical="center"/>
    </xf>
    <xf numFmtId="164" fontId="208" fillId="0" borderId="0" xfId="0" applyNumberFormat="1" applyFont="1" applyFill="1" applyBorder="1" applyAlignment="1">
      <alignment horizontal="left" vertical="top" wrapText="1"/>
    </xf>
    <xf numFmtId="0" fontId="242" fillId="0" borderId="0" xfId="0" applyFont="1" applyFill="1" applyAlignment="1">
      <alignment horizontal="left" vertical="top" wrapText="1"/>
    </xf>
    <xf numFmtId="0" fontId="265" fillId="0" borderId="0" xfId="0" applyFont="1" applyFill="1" applyAlignment="1">
      <alignment horizontal="right" vertical="center" wrapText="1"/>
    </xf>
    <xf numFmtId="0" fontId="265" fillId="0" borderId="0" xfId="0" applyFont="1" applyAlignment="1">
      <alignment horizontal="right" vertical="center" wrapText="1"/>
    </xf>
    <xf numFmtId="0" fontId="262" fillId="16" borderId="0" xfId="0" applyFont="1" applyFill="1" applyAlignment="1">
      <alignment vertical="center" wrapText="1"/>
    </xf>
    <xf numFmtId="0" fontId="264" fillId="0" borderId="0" xfId="0" applyFont="1" applyAlignment="1">
      <alignment vertical="center" wrapText="1"/>
    </xf>
    <xf numFmtId="0" fontId="19" fillId="3" borderId="1" xfId="0" applyFont="1" applyFill="1" applyBorder="1" applyAlignment="1">
      <alignment horizontal="center" vertical="center" wrapText="1"/>
    </xf>
    <xf numFmtId="0" fontId="296" fillId="3" borderId="0" xfId="0" applyFont="1" applyFill="1" applyBorder="1" applyAlignment="1">
      <alignment vertical="center" wrapText="1"/>
    </xf>
    <xf numFmtId="0" fontId="296" fillId="3" borderId="2" xfId="0" applyFont="1" applyFill="1" applyBorder="1" applyAlignment="1">
      <alignment vertical="center" wrapText="1"/>
    </xf>
    <xf numFmtId="0" fontId="114" fillId="6" borderId="1" xfId="0" applyFont="1" applyFill="1" applyBorder="1" applyAlignment="1">
      <alignment horizontal="center" vertical="center"/>
    </xf>
    <xf numFmtId="0" fontId="114" fillId="6" borderId="0" xfId="0" applyFont="1" applyFill="1" applyBorder="1" applyAlignment="1">
      <alignment horizontal="center" vertical="center"/>
    </xf>
    <xf numFmtId="0" fontId="96" fillId="6" borderId="1" xfId="0" applyFont="1" applyFill="1" applyBorder="1" applyAlignment="1">
      <alignment horizontal="center" vertical="center"/>
    </xf>
    <xf numFmtId="0" fontId="96" fillId="6" borderId="2" xfId="0" applyFont="1" applyFill="1" applyBorder="1" applyAlignment="1">
      <alignment horizontal="center" vertical="center"/>
    </xf>
    <xf numFmtId="0" fontId="0" fillId="0" borderId="0" xfId="0" applyFill="1" applyAlignment="1"/>
    <xf numFmtId="0" fontId="310" fillId="11" borderId="0" xfId="0" applyFont="1" applyFill="1" applyBorder="1" applyAlignment="1">
      <alignment horizontal="center" vertical="center"/>
    </xf>
    <xf numFmtId="0" fontId="310" fillId="11" borderId="5" xfId="0" applyFont="1" applyFill="1" applyBorder="1" applyAlignment="1">
      <alignment horizontal="center" vertical="center"/>
    </xf>
    <xf numFmtId="0" fontId="274" fillId="0" borderId="0" xfId="0" applyFont="1" applyBorder="1" applyAlignment="1">
      <alignment horizontal="right" vertical="top" wrapText="1"/>
    </xf>
    <xf numFmtId="0" fontId="34" fillId="0" borderId="1" xfId="0" applyFont="1" applyFill="1" applyBorder="1" applyAlignment="1">
      <alignment horizontal="left" vertical="top" wrapText="1"/>
    </xf>
    <xf numFmtId="0" fontId="0" fillId="0" borderId="1" xfId="0" applyFill="1" applyBorder="1" applyAlignment="1">
      <alignment vertical="top" wrapText="1"/>
    </xf>
    <xf numFmtId="0" fontId="196" fillId="0" borderId="0" xfId="0" applyFont="1" applyFill="1" applyBorder="1" applyAlignment="1">
      <alignment horizontal="right" vertical="top" wrapText="1"/>
    </xf>
    <xf numFmtId="0" fontId="196" fillId="0" borderId="0" xfId="0" applyFont="1" applyFill="1" applyAlignment="1">
      <alignment horizontal="right" vertical="top" wrapText="1"/>
    </xf>
    <xf numFmtId="0" fontId="28" fillId="5" borderId="4" xfId="0" applyFont="1" applyFill="1" applyBorder="1" applyAlignment="1">
      <alignment horizontal="center" vertical="center"/>
    </xf>
    <xf numFmtId="0" fontId="28" fillId="5" borderId="5" xfId="0" applyFont="1" applyFill="1" applyBorder="1" applyAlignment="1">
      <alignment horizontal="center" vertical="center"/>
    </xf>
    <xf numFmtId="0" fontId="34" fillId="0" borderId="0" xfId="0" applyFont="1" applyFill="1" applyAlignment="1">
      <alignment horizontal="left" vertical="top" wrapText="1"/>
    </xf>
    <xf numFmtId="0" fontId="34" fillId="0" borderId="2" xfId="0" applyFont="1" applyFill="1" applyBorder="1" applyAlignment="1">
      <alignment horizontal="right" vertical="top" wrapText="1"/>
    </xf>
    <xf numFmtId="0" fontId="0" fillId="0" borderId="2" xfId="0" applyFill="1" applyBorder="1" applyAlignment="1">
      <alignment vertical="top" wrapText="1"/>
    </xf>
    <xf numFmtId="3" fontId="208" fillId="0" borderId="1" xfId="0" applyNumberFormat="1" applyFont="1" applyFill="1" applyBorder="1" applyAlignment="1">
      <alignment horizontal="right" vertical="top" wrapText="1"/>
    </xf>
    <xf numFmtId="0" fontId="242" fillId="0" borderId="1" xfId="0" applyFont="1" applyFill="1" applyBorder="1" applyAlignment="1">
      <alignment vertical="top" wrapText="1"/>
    </xf>
    <xf numFmtId="0" fontId="88" fillId="0" borderId="0" xfId="0" applyFont="1" applyFill="1" applyBorder="1" applyAlignment="1">
      <alignment vertical="center" wrapText="1"/>
    </xf>
    <xf numFmtId="0" fontId="112" fillId="9" borderId="0" xfId="0" applyFont="1" applyFill="1" applyAlignment="1">
      <alignment horizontal="center" vertical="center" wrapText="1"/>
    </xf>
    <xf numFmtId="0" fontId="112" fillId="9" borderId="5"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11" fillId="5" borderId="0" xfId="0" applyFont="1" applyFill="1" applyBorder="1" applyAlignment="1">
      <alignment horizontal="center" vertical="center" wrapText="1"/>
    </xf>
    <xf numFmtId="0" fontId="122" fillId="5" borderId="0" xfId="0" applyFont="1" applyFill="1" applyBorder="1" applyAlignment="1">
      <alignment horizontal="center" vertical="center"/>
    </xf>
    <xf numFmtId="0" fontId="93" fillId="3" borderId="0" xfId="0" applyFont="1" applyFill="1" applyBorder="1" applyAlignment="1">
      <alignment horizontal="center" vertical="center" wrapText="1"/>
    </xf>
    <xf numFmtId="0" fontId="12" fillId="9" borderId="1" xfId="0" applyFont="1" applyFill="1" applyBorder="1" applyAlignment="1">
      <alignment horizontal="center" vertical="center"/>
    </xf>
    <xf numFmtId="0" fontId="96" fillId="9" borderId="5" xfId="0" applyFont="1" applyFill="1" applyBorder="1" applyAlignment="1">
      <alignment horizontal="center" vertical="center"/>
    </xf>
    <xf numFmtId="3" fontId="208" fillId="0" borderId="0" xfId="0" applyNumberFormat="1" applyFont="1" applyFill="1" applyBorder="1" applyAlignment="1">
      <alignment horizontal="right" vertical="top" wrapText="1"/>
    </xf>
    <xf numFmtId="0" fontId="19" fillId="9" borderId="0" xfId="0" applyFont="1" applyFill="1" applyAlignment="1">
      <alignment horizontal="center" vertical="center" wrapText="1"/>
    </xf>
    <xf numFmtId="0" fontId="19" fillId="9" borderId="5" xfId="0" applyFont="1" applyFill="1" applyBorder="1" applyAlignment="1">
      <alignment horizontal="center" vertical="center" wrapText="1"/>
    </xf>
    <xf numFmtId="0" fontId="28" fillId="5" borderId="0" xfId="0" applyFont="1" applyFill="1" applyBorder="1" applyAlignment="1">
      <alignment horizontal="center" vertical="center"/>
    </xf>
    <xf numFmtId="1" fontId="289" fillId="0" borderId="0" xfId="0" applyNumberFormat="1" applyFont="1" applyBorder="1" applyAlignment="1">
      <alignment horizontal="left" vertical="top" wrapText="1"/>
    </xf>
    <xf numFmtId="0" fontId="242" fillId="0" borderId="0" xfId="0" applyFont="1" applyBorder="1" applyAlignment="1">
      <alignment horizontal="left" vertical="top" wrapText="1"/>
    </xf>
    <xf numFmtId="0" fontId="0" fillId="0" borderId="0" xfId="0" applyAlignment="1">
      <alignment wrapText="1"/>
    </xf>
    <xf numFmtId="0" fontId="314" fillId="6" borderId="1" xfId="0" applyFont="1" applyFill="1" applyBorder="1" applyAlignment="1">
      <alignment horizontal="center" vertical="center"/>
    </xf>
    <xf numFmtId="0" fontId="314" fillId="6" borderId="2" xfId="0" applyFont="1" applyFill="1" applyBorder="1" applyAlignment="1">
      <alignment horizontal="center" vertical="center"/>
    </xf>
    <xf numFmtId="0" fontId="310" fillId="11" borderId="0" xfId="0" applyFont="1" applyFill="1" applyAlignment="1">
      <alignment horizontal="center" vertical="center"/>
    </xf>
    <xf numFmtId="0" fontId="19" fillId="9" borderId="4"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34" fillId="0" borderId="0" xfId="0" applyFont="1" applyFill="1" applyBorder="1" applyAlignment="1">
      <alignment horizontal="right" vertical="top" wrapText="1"/>
    </xf>
    <xf numFmtId="0" fontId="0" fillId="0" borderId="0" xfId="0" applyFill="1" applyAlignment="1">
      <alignment horizontal="right" vertical="top"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164" fontId="77" fillId="0" borderId="3" xfId="0" applyNumberFormat="1" applyFont="1" applyBorder="1" applyAlignment="1">
      <alignment horizontal="left" vertical="top" wrapText="1"/>
    </xf>
    <xf numFmtId="0" fontId="77" fillId="0" borderId="3" xfId="0" applyFont="1" applyBorder="1" applyAlignment="1">
      <alignment horizontal="left" vertical="top" wrapText="1"/>
    </xf>
    <xf numFmtId="0" fontId="203" fillId="0" borderId="0" xfId="0" applyFont="1" applyFill="1" applyBorder="1" applyAlignment="1">
      <alignment horizontal="right" vertical="top" wrapText="1"/>
    </xf>
    <xf numFmtId="0" fontId="19" fillId="13" borderId="1" xfId="0" applyFont="1" applyFill="1" applyBorder="1" applyAlignment="1">
      <alignment horizontal="center" vertical="center" wrapText="1"/>
    </xf>
    <xf numFmtId="0" fontId="296" fillId="13" borderId="0" xfId="0" applyFont="1" applyFill="1" applyBorder="1" applyAlignment="1">
      <alignment vertical="center" wrapText="1"/>
    </xf>
    <xf numFmtId="0" fontId="296" fillId="13" borderId="2" xfId="0" applyFont="1" applyFill="1" applyBorder="1" applyAlignment="1">
      <alignment vertical="center" wrapText="1"/>
    </xf>
    <xf numFmtId="0" fontId="28"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19" fillId="5" borderId="0" xfId="0" applyFont="1" applyFill="1" applyAlignment="1">
      <alignment horizontal="center" vertical="center" wrapText="1"/>
    </xf>
    <xf numFmtId="0" fontId="327" fillId="0" borderId="0" xfId="0" applyFont="1" applyAlignment="1">
      <alignment horizontal="right" vertical="top" wrapText="1"/>
    </xf>
    <xf numFmtId="0" fontId="258" fillId="0" borderId="0" xfId="0" applyFont="1" applyAlignment="1">
      <alignment horizontal="right" vertical="top" wrapText="1"/>
    </xf>
    <xf numFmtId="0" fontId="77" fillId="0" borderId="0" xfId="0" applyFont="1" applyBorder="1" applyAlignment="1">
      <alignment horizontal="right" vertical="top" wrapText="1"/>
    </xf>
    <xf numFmtId="0" fontId="0" fillId="0" borderId="0" xfId="0" applyAlignment="1">
      <alignment horizontal="right" vertical="top" wrapText="1"/>
    </xf>
    <xf numFmtId="0" fontId="84" fillId="7" borderId="0" xfId="0" applyFont="1" applyFill="1" applyBorder="1" applyAlignment="1">
      <alignment horizontal="left" vertical="top" wrapText="1"/>
    </xf>
    <xf numFmtId="0" fontId="194" fillId="0" borderId="0"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1" xfId="0" applyBorder="1" applyAlignment="1">
      <alignment horizontal="left" vertical="top" wrapText="1"/>
    </xf>
    <xf numFmtId="0" fontId="196" fillId="0" borderId="0" xfId="0" applyFont="1" applyBorder="1" applyAlignment="1">
      <alignment vertical="top" wrapText="1"/>
    </xf>
    <xf numFmtId="0" fontId="34" fillId="0" borderId="2" xfId="0" applyFont="1" applyFill="1" applyBorder="1" applyAlignment="1">
      <alignment vertical="top" wrapText="1"/>
    </xf>
    <xf numFmtId="0" fontId="208" fillId="0" borderId="2" xfId="0" applyFont="1" applyFill="1" applyBorder="1" applyAlignment="1">
      <alignment horizontal="center" vertical="top" wrapText="1"/>
    </xf>
    <xf numFmtId="0" fontId="242" fillId="0" borderId="2" xfId="0" applyFont="1" applyFill="1" applyBorder="1" applyAlignment="1">
      <alignment horizontal="center" vertical="top" wrapText="1"/>
    </xf>
    <xf numFmtId="164" fontId="208" fillId="0" borderId="0" xfId="0" applyNumberFormat="1" applyFont="1" applyFill="1" applyBorder="1" applyAlignment="1">
      <alignment horizontal="right" vertical="top" wrapText="1"/>
    </xf>
    <xf numFmtId="0" fontId="110" fillId="0" borderId="2" xfId="0" applyFont="1" applyFill="1" applyBorder="1" applyAlignment="1">
      <alignment vertical="top" wrapText="1"/>
    </xf>
    <xf numFmtId="0" fontId="274" fillId="0" borderId="2" xfId="0" applyFont="1" applyBorder="1" applyAlignment="1">
      <alignment horizontal="right" vertical="top" wrapText="1"/>
    </xf>
    <xf numFmtId="0" fontId="326" fillId="0" borderId="0" xfId="0" applyFont="1" applyAlignment="1">
      <alignment vertical="top" wrapText="1"/>
    </xf>
    <xf numFmtId="0" fontId="285" fillId="0" borderId="0" xfId="0" applyFont="1" applyAlignment="1">
      <alignment vertical="top" wrapText="1"/>
    </xf>
    <xf numFmtId="0" fontId="34" fillId="0" borderId="0" xfId="0" applyFont="1" applyFill="1" applyAlignment="1">
      <alignment vertical="top" wrapText="1"/>
    </xf>
    <xf numFmtId="0" fontId="110" fillId="0" borderId="0" xfId="0" applyFont="1" applyFill="1" applyAlignment="1">
      <alignment vertical="top" wrapText="1"/>
    </xf>
    <xf numFmtId="0" fontId="200" fillId="0" borderId="0" xfId="0" applyFont="1" applyFill="1" applyAlignment="1">
      <alignment vertical="top" wrapText="1"/>
    </xf>
    <xf numFmtId="0" fontId="110" fillId="0" borderId="0" xfId="0" applyFont="1" applyFill="1" applyBorder="1" applyAlignment="1">
      <alignment vertical="top" wrapText="1"/>
    </xf>
    <xf numFmtId="0" fontId="242" fillId="0" borderId="0" xfId="0" applyFont="1" applyFill="1" applyBorder="1" applyAlignment="1">
      <alignment horizontal="right" vertical="top" wrapText="1"/>
    </xf>
    <xf numFmtId="0" fontId="208" fillId="0" borderId="2" xfId="0" applyFont="1" applyBorder="1" applyAlignment="1">
      <alignment vertical="top" wrapText="1"/>
    </xf>
    <xf numFmtId="0" fontId="242" fillId="0" borderId="2" xfId="0" applyFont="1" applyBorder="1" applyAlignment="1">
      <alignment vertical="top" wrapText="1"/>
    </xf>
    <xf numFmtId="0" fontId="196" fillId="0" borderId="0" xfId="0" applyFont="1" applyFill="1" applyAlignment="1">
      <alignment horizontal="left" vertical="top" wrapText="1"/>
    </xf>
    <xf numFmtId="0" fontId="194" fillId="0" borderId="1" xfId="0" applyFont="1" applyFill="1" applyBorder="1" applyAlignment="1">
      <alignment vertical="top" wrapText="1"/>
    </xf>
    <xf numFmtId="0" fontId="0" fillId="0" borderId="1" xfId="0" applyFont="1" applyFill="1" applyBorder="1" applyAlignment="1">
      <alignment vertical="top" wrapText="1"/>
    </xf>
    <xf numFmtId="0" fontId="208" fillId="0" borderId="2" xfId="0" applyFont="1" applyFill="1" applyBorder="1" applyAlignment="1">
      <alignment horizontal="right" vertical="top" wrapText="1"/>
    </xf>
    <xf numFmtId="0" fontId="0" fillId="0" borderId="2" xfId="0" applyBorder="1" applyAlignment="1">
      <alignment horizontal="right" vertical="top" wrapText="1"/>
    </xf>
    <xf numFmtId="0" fontId="98" fillId="0" borderId="0" xfId="0" applyFont="1" applyAlignment="1">
      <alignment horizontal="right" vertical="top" wrapText="1"/>
    </xf>
    <xf numFmtId="0" fontId="194" fillId="0" borderId="0" xfId="0" applyFont="1" applyFill="1" applyBorder="1" applyAlignment="1">
      <alignment vertical="top" wrapText="1"/>
    </xf>
    <xf numFmtId="0" fontId="109" fillId="0" borderId="0" xfId="0" applyFont="1" applyFill="1" applyAlignment="1">
      <alignment vertical="top" wrapText="1"/>
    </xf>
    <xf numFmtId="164" fontId="34" fillId="0" borderId="2" xfId="0" applyNumberFormat="1" applyFont="1" applyBorder="1" applyAlignment="1">
      <alignment horizontal="left" vertical="top" wrapText="1"/>
    </xf>
    <xf numFmtId="0" fontId="136" fillId="0" borderId="2" xfId="0" applyFont="1" applyBorder="1" applyAlignment="1">
      <alignment horizontal="left" vertical="top" wrapText="1"/>
    </xf>
    <xf numFmtId="0" fontId="205" fillId="0" borderId="2" xfId="0" applyFont="1" applyFill="1" applyBorder="1" applyAlignment="1">
      <alignment vertical="top" wrapText="1"/>
    </xf>
    <xf numFmtId="0" fontId="288" fillId="0" borderId="0" xfId="0" applyFont="1" applyFill="1" applyBorder="1" applyAlignment="1">
      <alignment vertical="top" wrapText="1"/>
    </xf>
    <xf numFmtId="0" fontId="0" fillId="0" borderId="2" xfId="0" applyFill="1" applyBorder="1" applyAlignment="1">
      <alignment horizontal="right" vertical="top" wrapText="1"/>
    </xf>
    <xf numFmtId="0" fontId="325" fillId="19" borderId="1" xfId="0" applyFont="1" applyFill="1" applyBorder="1" applyAlignment="1">
      <alignment horizontal="center" vertical="center"/>
    </xf>
    <xf numFmtId="0" fontId="325" fillId="0" borderId="0" xfId="0" applyFont="1" applyAlignment="1">
      <alignment horizontal="center" vertical="center"/>
    </xf>
    <xf numFmtId="0" fontId="325" fillId="0" borderId="5" xfId="0" applyFont="1" applyBorder="1" applyAlignment="1">
      <alignment horizontal="center" vertical="center"/>
    </xf>
    <xf numFmtId="0" fontId="314" fillId="6" borderId="5" xfId="0" applyFont="1" applyFill="1" applyBorder="1" applyAlignment="1">
      <alignment horizontal="center" vertical="center"/>
    </xf>
    <xf numFmtId="0" fontId="262" fillId="18" borderId="0" xfId="0" applyFont="1" applyFill="1" applyAlignment="1">
      <alignment horizontal="center" wrapText="1"/>
    </xf>
    <xf numFmtId="0" fontId="0" fillId="0" borderId="2" xfId="0" applyBorder="1" applyAlignment="1">
      <alignment vertical="top" wrapText="1"/>
    </xf>
    <xf numFmtId="0" fontId="311" fillId="6" borderId="1" xfId="0" applyFont="1" applyFill="1" applyBorder="1" applyAlignment="1">
      <alignment horizontal="center" vertical="center"/>
    </xf>
    <xf numFmtId="0" fontId="311" fillId="6" borderId="0" xfId="0" applyFont="1" applyFill="1" applyBorder="1" applyAlignment="1">
      <alignment horizontal="center" vertical="center"/>
    </xf>
    <xf numFmtId="0" fontId="311" fillId="6" borderId="2" xfId="0" applyFont="1" applyFill="1" applyBorder="1" applyAlignment="1">
      <alignment horizontal="center" vertical="center"/>
    </xf>
    <xf numFmtId="0" fontId="312" fillId="5" borderId="1" xfId="0" applyFont="1" applyFill="1" applyBorder="1" applyAlignment="1">
      <alignment horizontal="center" vertical="center"/>
    </xf>
    <xf numFmtId="0" fontId="312" fillId="5" borderId="2" xfId="0" applyFont="1" applyFill="1" applyBorder="1" applyAlignment="1">
      <alignment horizontal="center" vertical="center"/>
    </xf>
    <xf numFmtId="0" fontId="312" fillId="5" borderId="5" xfId="0" applyFont="1" applyFill="1" applyBorder="1" applyAlignment="1">
      <alignment horizontal="center" vertical="center"/>
    </xf>
    <xf numFmtId="0" fontId="314" fillId="9" borderId="2" xfId="0" applyFont="1" applyFill="1" applyBorder="1" applyAlignment="1">
      <alignment horizontal="center" vertical="center"/>
    </xf>
    <xf numFmtId="0" fontId="310" fillId="9" borderId="2" xfId="0" applyFont="1" applyFill="1" applyBorder="1" applyAlignment="1">
      <alignment horizontal="center" vertical="center" wrapText="1"/>
    </xf>
    <xf numFmtId="0" fontId="310" fillId="5" borderId="0" xfId="0" applyFont="1" applyFill="1" applyAlignment="1">
      <alignment horizontal="center" vertical="center" wrapText="1"/>
    </xf>
    <xf numFmtId="0" fontId="195" fillId="0" borderId="0" xfId="0" applyFont="1" applyFill="1" applyBorder="1" applyAlignment="1">
      <alignment vertical="top" wrapText="1"/>
    </xf>
    <xf numFmtId="0" fontId="195" fillId="0" borderId="2" xfId="0" applyFont="1" applyFill="1" applyBorder="1" applyAlignment="1">
      <alignment vertical="top" wrapText="1"/>
    </xf>
    <xf numFmtId="0" fontId="310" fillId="11" borderId="1" xfId="0" applyFont="1" applyFill="1" applyBorder="1" applyAlignment="1">
      <alignment horizontal="center" vertical="center"/>
    </xf>
    <xf numFmtId="0" fontId="289" fillId="0" borderId="1" xfId="0" applyFont="1" applyFill="1" applyBorder="1" applyAlignment="1">
      <alignment horizontal="left" vertical="top" wrapText="1"/>
    </xf>
    <xf numFmtId="0" fontId="208" fillId="0" borderId="0" xfId="0" applyFont="1" applyFill="1" applyBorder="1" applyAlignment="1">
      <alignment horizontal="left" vertical="top" wrapText="1"/>
    </xf>
    <xf numFmtId="0" fontId="208" fillId="0" borderId="0" xfId="0" applyFont="1" applyFill="1" applyAlignment="1">
      <alignment horizontal="left" vertical="top" wrapText="1"/>
    </xf>
    <xf numFmtId="0" fontId="289" fillId="0" borderId="1" xfId="0" applyFont="1" applyBorder="1" applyAlignment="1">
      <alignment horizontal="right" vertical="top" wrapText="1"/>
    </xf>
    <xf numFmtId="0" fontId="311" fillId="9" borderId="0" xfId="0" applyFont="1" applyFill="1" applyBorder="1" applyAlignment="1">
      <alignment horizontal="center" vertical="center" wrapText="1"/>
    </xf>
    <xf numFmtId="0" fontId="311" fillId="9" borderId="0" xfId="0" applyFont="1" applyFill="1" applyAlignment="1">
      <alignment horizontal="center" vertical="center" wrapText="1"/>
    </xf>
    <xf numFmtId="0" fontId="311" fillId="9" borderId="2" xfId="0" applyFont="1" applyFill="1" applyBorder="1" applyAlignment="1">
      <alignment horizontal="center" vertical="center" wrapText="1"/>
    </xf>
    <xf numFmtId="0" fontId="195" fillId="0" borderId="0" xfId="0" applyFont="1" applyFill="1" applyBorder="1" applyAlignment="1">
      <alignment horizontal="right" vertical="top" wrapText="1"/>
    </xf>
    <xf numFmtId="0" fontId="195" fillId="0" borderId="0" xfId="0" applyFont="1" applyFill="1" applyAlignment="1">
      <alignment horizontal="right" vertical="top" wrapText="1"/>
    </xf>
    <xf numFmtId="0" fontId="294" fillId="0" borderId="0" xfId="0" applyFont="1" applyFill="1" applyBorder="1" applyAlignment="1">
      <alignment vertical="top" wrapText="1"/>
    </xf>
    <xf numFmtId="0" fontId="274" fillId="0" borderId="1" xfId="0" applyFont="1" applyFill="1" applyBorder="1" applyAlignment="1">
      <alignment horizontal="left" vertical="top" wrapText="1"/>
    </xf>
    <xf numFmtId="0" fontId="331" fillId="0" borderId="0" xfId="0" applyFont="1" applyFill="1" applyAlignment="1">
      <alignment horizontal="left" vertical="top" wrapText="1"/>
    </xf>
    <xf numFmtId="0" fontId="331" fillId="0" borderId="1" xfId="0" applyFont="1" applyFill="1" applyBorder="1" applyAlignment="1">
      <alignment horizontal="left" vertical="top" wrapText="1"/>
    </xf>
    <xf numFmtId="0" fontId="34" fillId="0" borderId="0" xfId="2" applyFont="1" applyFill="1" applyAlignment="1">
      <alignment vertical="top" wrapText="1"/>
    </xf>
    <xf numFmtId="0" fontId="208" fillId="0" borderId="1" xfId="0" applyFont="1" applyFill="1" applyBorder="1" applyAlignment="1">
      <alignment horizontal="left" vertical="top" wrapText="1"/>
    </xf>
    <xf numFmtId="0" fontId="242" fillId="0" borderId="1" xfId="0" applyFont="1" applyFill="1" applyBorder="1" applyAlignment="1">
      <alignment horizontal="left" vertical="top" wrapText="1"/>
    </xf>
    <xf numFmtId="164" fontId="29" fillId="0" borderId="0" xfId="0" applyNumberFormat="1" applyFont="1" applyBorder="1" applyAlignment="1">
      <alignment horizontal="center" vertical="top" wrapText="1"/>
    </xf>
    <xf numFmtId="0" fontId="0" fillId="0" borderId="0" xfId="0" applyAlignment="1">
      <alignment horizontal="center" vertical="top" wrapText="1"/>
    </xf>
    <xf numFmtId="0" fontId="44" fillId="4" borderId="1" xfId="0" applyFont="1" applyFill="1" applyBorder="1" applyAlignment="1">
      <alignment horizontal="center" vertical="center"/>
    </xf>
    <xf numFmtId="0" fontId="44" fillId="4" borderId="2" xfId="0" applyFont="1" applyFill="1" applyBorder="1" applyAlignment="1">
      <alignment horizontal="center" vertical="center"/>
    </xf>
    <xf numFmtId="0" fontId="111" fillId="5" borderId="0" xfId="0" applyFont="1" applyFill="1" applyAlignment="1">
      <alignment horizontal="center" vertical="center" wrapText="1"/>
    </xf>
    <xf numFmtId="0" fontId="310" fillId="21" borderId="1" xfId="0" applyFont="1" applyFill="1" applyBorder="1" applyAlignment="1">
      <alignment horizontal="center" vertical="center" wrapText="1"/>
    </xf>
    <xf numFmtId="0" fontId="289" fillId="13" borderId="0" xfId="0" applyFont="1" applyFill="1" applyBorder="1" applyAlignment="1">
      <alignment horizontal="center" vertical="center" wrapText="1"/>
    </xf>
    <xf numFmtId="0" fontId="289" fillId="13" borderId="2" xfId="0" applyFont="1" applyFill="1" applyBorder="1" applyAlignment="1">
      <alignment horizontal="center" vertical="center" wrapText="1"/>
    </xf>
    <xf numFmtId="0" fontId="0" fillId="0" borderId="0" xfId="0" applyBorder="1" applyAlignment="1">
      <alignment vertical="top" wrapText="1"/>
    </xf>
    <xf numFmtId="0" fontId="97" fillId="21" borderId="1" xfId="0" applyFont="1" applyFill="1" applyBorder="1" applyAlignment="1">
      <alignment horizontal="center" vertical="center" wrapText="1"/>
    </xf>
    <xf numFmtId="0" fontId="97" fillId="21" borderId="0" xfId="0" applyFont="1" applyFill="1" applyBorder="1" applyAlignment="1">
      <alignment horizontal="center" vertical="center" wrapText="1"/>
    </xf>
    <xf numFmtId="0" fontId="97" fillId="21" borderId="2"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2" xfId="0" applyFont="1" applyFill="1" applyBorder="1" applyAlignment="1">
      <alignment horizontal="center" vertical="center"/>
    </xf>
    <xf numFmtId="0" fontId="96" fillId="9" borderId="2"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2" xfId="0" applyFont="1" applyFill="1" applyBorder="1" applyAlignment="1">
      <alignment horizontal="center" vertical="center"/>
    </xf>
    <xf numFmtId="0" fontId="208" fillId="0" borderId="0" xfId="0" applyFont="1" applyBorder="1" applyAlignment="1">
      <alignment horizontal="center" vertical="top" wrapText="1"/>
    </xf>
    <xf numFmtId="0" fontId="242" fillId="0" borderId="0" xfId="0" applyFont="1" applyAlignment="1">
      <alignment horizontal="center" vertical="top" wrapText="1"/>
    </xf>
    <xf numFmtId="0" fontId="208" fillId="0" borderId="0" xfId="0" applyFont="1" applyFill="1" applyBorder="1" applyAlignment="1">
      <alignment horizontal="center" vertical="top" wrapText="1"/>
    </xf>
    <xf numFmtId="0" fontId="36" fillId="0" borderId="0" xfId="0" applyFont="1" applyFill="1" applyBorder="1" applyAlignment="1">
      <alignment horizontal="left" vertical="top" wrapText="1"/>
    </xf>
    <xf numFmtId="0" fontId="0" fillId="0" borderId="0" xfId="0" applyAlignment="1">
      <alignment horizontal="left" vertical="top" wrapText="1"/>
    </xf>
    <xf numFmtId="0" fontId="254" fillId="19" borderId="1" xfId="0" applyFont="1" applyFill="1" applyBorder="1" applyAlignment="1">
      <alignment horizontal="center" vertical="center"/>
    </xf>
    <xf numFmtId="0" fontId="254" fillId="0" borderId="0" xfId="0" applyFont="1" applyAlignment="1">
      <alignment horizontal="center" vertical="center"/>
    </xf>
    <xf numFmtId="0" fontId="254" fillId="0" borderId="5" xfId="0" applyFont="1" applyBorder="1" applyAlignment="1">
      <alignment horizontal="center" vertical="center"/>
    </xf>
    <xf numFmtId="0" fontId="212" fillId="0" borderId="2" xfId="0" applyFont="1" applyBorder="1" applyAlignment="1">
      <alignment horizontal="center" vertical="center"/>
    </xf>
    <xf numFmtId="0" fontId="289" fillId="0" borderId="0" xfId="0" applyFont="1" applyAlignment="1">
      <alignment horizontal="center" vertical="center"/>
    </xf>
    <xf numFmtId="0" fontId="289" fillId="0" borderId="5" xfId="0" applyFont="1" applyBorder="1" applyAlignment="1">
      <alignment horizontal="center" vertical="center"/>
    </xf>
    <xf numFmtId="0" fontId="289" fillId="0" borderId="2" xfId="0" applyFont="1" applyBorder="1" applyAlignment="1">
      <alignment horizontal="center" vertical="center"/>
    </xf>
    <xf numFmtId="0" fontId="88" fillId="0" borderId="0" xfId="0" applyFont="1" applyFill="1" applyBorder="1" applyAlignment="1">
      <alignment wrapText="1"/>
    </xf>
    <xf numFmtId="0" fontId="0" fillId="0" borderId="0" xfId="0" applyFill="1" applyAlignment="1">
      <alignment wrapText="1"/>
    </xf>
    <xf numFmtId="0" fontId="144" fillId="0" borderId="0" xfId="0" applyFont="1" applyFill="1" applyAlignment="1">
      <alignment vertical="center" wrapText="1"/>
    </xf>
    <xf numFmtId="0" fontId="92" fillId="0" borderId="0" xfId="0" applyFont="1" applyAlignment="1">
      <alignment vertical="center" wrapText="1"/>
    </xf>
  </cellXfs>
  <cellStyles count="3">
    <cellStyle name="Bad" xfId="1" builtinId="27"/>
    <cellStyle name="Hyperlink" xfId="2" builtinId="8"/>
    <cellStyle name="Normal" xfId="0" builtinId="0"/>
  </cellStyles>
  <dxfs count="0"/>
  <tableStyles count="0" defaultTableStyle="TableStyleMedium9" defaultPivotStyle="PivotStyleMedium4"/>
  <colors>
    <mruColors>
      <color rgb="FFFFC2F2"/>
      <color rgb="FF00FA00"/>
      <color rgb="FF0000FF"/>
      <color rgb="FF00FF00"/>
      <color rgb="FF000000"/>
      <color rgb="FF00B0F0"/>
      <color rgb="FF3366FF"/>
      <color rgb="FF008000"/>
      <color rgb="FF00009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3.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4.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a:pPr>
            <a:r>
              <a:rPr lang="en-US" sz="600" b="0">
                <a:solidFill>
                  <a:srgbClr val="FF0000"/>
                </a:solidFill>
                <a:effectLst/>
              </a:rPr>
              <a:t>During </a:t>
            </a:r>
            <a:r>
              <a:rPr lang="en-US" sz="600" b="0" baseline="0">
                <a:solidFill>
                  <a:srgbClr val="FF0000"/>
                </a:solidFill>
                <a:effectLst/>
              </a:rPr>
              <a:t> SV-CV (2029-2033)</a:t>
            </a:r>
            <a:r>
              <a:rPr lang="en-US" sz="600" b="0">
                <a:solidFill>
                  <a:srgbClr val="FF0000"/>
                </a:solidFill>
                <a:effectLst/>
              </a:rPr>
              <a:t>:</a:t>
            </a:r>
            <a:r>
              <a:rPr lang="en-US" sz="600" b="0" baseline="0">
                <a:solidFill>
                  <a:srgbClr val="FF0000"/>
                </a:solidFill>
                <a:effectLst/>
              </a:rPr>
              <a:t> 1)</a:t>
            </a:r>
            <a:r>
              <a:rPr lang="en-US" sz="600" b="0">
                <a:solidFill>
                  <a:srgbClr val="FF0000"/>
                </a:solidFill>
                <a:effectLst/>
              </a:rPr>
              <a:t> there are no plans for ±200mph HSR service in the LA Basin (SCAG), none</a:t>
            </a:r>
          </a:p>
          <a:p>
            <a:pPr algn="l">
              <a:defRPr/>
            </a:pPr>
            <a:r>
              <a:rPr lang="en-US" sz="600" b="0">
                <a:solidFill>
                  <a:srgbClr val="FF0000"/>
                </a:solidFill>
                <a:effectLst/>
              </a:rPr>
              <a:t>for HSR service in San Diego County (SANDAG) before 2040,</a:t>
            </a:r>
            <a:r>
              <a:rPr lang="en-US" sz="600" b="0" baseline="0">
                <a:solidFill>
                  <a:srgbClr val="FF0000"/>
                </a:solidFill>
                <a:effectLst/>
              </a:rPr>
              <a:t> while </a:t>
            </a:r>
            <a:r>
              <a:rPr lang="en-US" sz="600" b="0">
                <a:solidFill>
                  <a:srgbClr val="FF0000"/>
                </a:solidFill>
                <a:effectLst/>
              </a:rPr>
              <a:t> SACOG</a:t>
            </a:r>
            <a:r>
              <a:rPr lang="en-US" sz="600" b="0" baseline="0">
                <a:solidFill>
                  <a:srgbClr val="FF0000"/>
                </a:solidFill>
                <a:effectLst/>
              </a:rPr>
              <a:t> </a:t>
            </a:r>
            <a:r>
              <a:rPr lang="en-US" sz="600" b="0">
                <a:solidFill>
                  <a:srgbClr val="FF0000"/>
                </a:solidFill>
                <a:effectLst/>
              </a:rPr>
              <a:t>is only served by an Authority bus taking 4hours 40minutes between Sacramento and </a:t>
            </a:r>
            <a:r>
              <a:rPr lang="en-US" sz="600" b="0" baseline="0">
                <a:solidFill>
                  <a:srgbClr val="FF0000"/>
                </a:solidFill>
                <a:effectLst/>
              </a:rPr>
              <a:t> </a:t>
            </a:r>
            <a:endParaRPr lang="en-US" sz="600" b="0">
              <a:solidFill>
                <a:srgbClr val="FF0000"/>
              </a:solidFill>
              <a:effectLst/>
            </a:endParaRPr>
          </a:p>
        </c:rich>
      </c:tx>
      <c:layout>
        <c:manualLayout>
          <c:xMode val="edge"/>
          <c:yMode val="edge"/>
          <c:x val="0.16069891472189063"/>
          <c:y val="0.74387977722296916"/>
        </c:manualLayout>
      </c:layout>
      <c:overlay val="1"/>
      <c:spPr>
        <a:noFill/>
        <a:ln w="25400">
          <a:noFill/>
        </a:ln>
      </c:spPr>
    </c:title>
    <c:autoTitleDeleted val="0"/>
    <c:plotArea>
      <c:layout/>
      <c:barChart>
        <c:barDir val="col"/>
        <c:grouping val="clustered"/>
        <c:varyColors val="0"/>
        <c:ser>
          <c:idx val="0"/>
          <c:order val="0"/>
          <c:tx>
            <c:strRef>
              <c:f>'RT Intra-Regional Travel'!$Q$7</c:f>
              <c:strCache>
                <c:ptCount val="1"/>
                <c:pt idx="0">
                  <c:v>SV-CV Period:Cost of Driving Alone Round-Trip @ 23¢/mile, the Authority's metric for fully-loaded auto costs</c:v>
                </c:pt>
              </c:strCache>
            </c:strRef>
          </c:tx>
          <c:spPr>
            <a:pattFill prst="pct20">
              <a:fgClr>
                <a:schemeClr val="accent1">
                  <a:lumMod val="60000"/>
                  <a:lumOff val="40000"/>
                </a:schemeClr>
              </a:fgClr>
              <a:bgClr>
                <a:srgbClr val="000090"/>
              </a:bgClr>
            </a:pattFill>
          </c:spPr>
          <c:invertIfNegative val="0"/>
          <c:dLbls>
            <c:spPr>
              <a:noFill/>
              <a:ln w="25400">
                <a:noFill/>
              </a:ln>
            </c:spPr>
            <c:txPr>
              <a:bodyPr/>
              <a:lstStyle/>
              <a:p>
                <a:pPr>
                  <a:defRPr sz="600" b="1" i="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Travel'!$P$8:$P$10</c:f>
              <c:strCache>
                <c:ptCount val="3"/>
                <c:pt idx="0">
                  <c:v>SV-CV Period: MTC    San Francisco-Gilroy/                                                               78miles</c:v>
                </c:pt>
                <c:pt idx="1">
                  <c:v>SV-CV Period:  Madera-Bakersfield/                                                      140miles</c:v>
                </c:pt>
                <c:pt idx="2">
                  <c:v>SV-CV Period: Merced-Bakersfield/                                          164 miles</c:v>
                </c:pt>
              </c:strCache>
            </c:strRef>
          </c:cat>
          <c:val>
            <c:numRef>
              <c:f>'RT Intra-Regional Travel'!$Q$8:$Q$10</c:f>
              <c:numCache>
                <c:formatCode>"$"#,##0</c:formatCode>
                <c:ptCount val="3"/>
                <c:pt idx="0">
                  <c:v>36.800000000000004</c:v>
                </c:pt>
                <c:pt idx="1">
                  <c:v>50.6</c:v>
                </c:pt>
                <c:pt idx="2">
                  <c:v>75.44</c:v>
                </c:pt>
              </c:numCache>
            </c:numRef>
          </c:val>
          <c:extLst>
            <c:ext xmlns:c16="http://schemas.microsoft.com/office/drawing/2014/chart" uri="{C3380CC4-5D6E-409C-BE32-E72D297353CC}">
              <c16:uniqueId val="{00000000-DBCC-B343-A424-25C4C01B8911}"/>
            </c:ext>
          </c:extLst>
        </c:ser>
        <c:ser>
          <c:idx val="1"/>
          <c:order val="1"/>
          <c:tx>
            <c:strRef>
              <c:f>'RT Intra-Regional Travel'!$R$7</c:f>
              <c:strCache>
                <c:ptCount val="1"/>
                <c:pt idx="0">
                  <c:v>Per person cost of intra-regional round-trip using HSR; bassed on Figure 2.2 fares</c:v>
                </c:pt>
              </c:strCache>
            </c:strRef>
          </c:tx>
          <c:spPr>
            <a:pattFill prst="dkUpDiag">
              <a:fgClr>
                <a:srgbClr val="FF0000"/>
              </a:fgClr>
              <a:bgClr>
                <a:schemeClr val="bg1"/>
              </a:bgClr>
            </a:pattFill>
            <a:ln>
              <a:noFill/>
            </a:ln>
          </c:spPr>
          <c:invertIfNegative val="0"/>
          <c:dLbls>
            <c:spPr>
              <a:noFill/>
              <a:ln w="25400">
                <a:noFill/>
              </a:ln>
            </c:spPr>
            <c:txPr>
              <a:bodyPr/>
              <a:lstStyle/>
              <a:p>
                <a:pPr>
                  <a:defRPr sz="600" b="1" i="0">
                    <a:solidFill>
                      <a:srgbClr val="FF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Travel'!$P$8:$P$10</c:f>
              <c:strCache>
                <c:ptCount val="3"/>
                <c:pt idx="0">
                  <c:v>SV-CV Period: MTC    San Francisco-Gilroy/                                                               78miles</c:v>
                </c:pt>
                <c:pt idx="1">
                  <c:v>SV-CV Period:  Madera-Bakersfield/                                                      140miles</c:v>
                </c:pt>
                <c:pt idx="2">
                  <c:v>SV-CV Period: Merced-Bakersfield/                                          164 miles</c:v>
                </c:pt>
              </c:strCache>
            </c:strRef>
          </c:cat>
          <c:val>
            <c:numRef>
              <c:f>'RT Intra-Regional Travel'!$R$8:$R$10</c:f>
              <c:numCache>
                <c:formatCode>"$"#,##0</c:formatCode>
                <c:ptCount val="3"/>
                <c:pt idx="0">
                  <c:v>52</c:v>
                </c:pt>
                <c:pt idx="1">
                  <c:v>128</c:v>
                </c:pt>
                <c:pt idx="2">
                  <c:v>129</c:v>
                </c:pt>
              </c:numCache>
            </c:numRef>
          </c:val>
          <c:extLst>
            <c:ext xmlns:c16="http://schemas.microsoft.com/office/drawing/2014/chart" uri="{C3380CC4-5D6E-409C-BE32-E72D297353CC}">
              <c16:uniqueId val="{00000001-DBCC-B343-A424-25C4C01B8911}"/>
            </c:ext>
          </c:extLst>
        </c:ser>
        <c:ser>
          <c:idx val="2"/>
          <c:order val="2"/>
          <c:tx>
            <c:strRef>
              <c:f>'RT Intra-Regional Travel'!$S$7</c:f>
              <c:strCache>
                <c:ptCount val="1"/>
                <c:pt idx="0">
                  <c:v>Per person fares for intra-regional round-trip by Caltrain or Amtrak (2018 $$s)</c:v>
                </c:pt>
              </c:strCache>
            </c:strRef>
          </c:tx>
          <c:spPr>
            <a:pattFill prst="pct70">
              <a:fgClr>
                <a:schemeClr val="accent2"/>
              </a:fgClr>
              <a:bgClr>
                <a:schemeClr val="bg1"/>
              </a:bgClr>
            </a:pattFill>
          </c:spPr>
          <c:invertIfNegative val="0"/>
          <c:dLbls>
            <c:spPr>
              <a:noFill/>
              <a:ln w="25400">
                <a:noFill/>
              </a:ln>
            </c:spPr>
            <c:txPr>
              <a:bodyPr/>
              <a:lstStyle/>
              <a:p>
                <a:pPr>
                  <a:defRPr sz="600" b="1" i="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Travel'!$P$8:$P$10</c:f>
              <c:strCache>
                <c:ptCount val="3"/>
                <c:pt idx="0">
                  <c:v>SV-CV Period: MTC    San Francisco-Gilroy/                                                               78miles</c:v>
                </c:pt>
                <c:pt idx="1">
                  <c:v>SV-CV Period:  Madera-Bakersfield/                                                      140miles</c:v>
                </c:pt>
                <c:pt idx="2">
                  <c:v>SV-CV Period: Merced-Bakersfield/                                          164 miles</c:v>
                </c:pt>
              </c:strCache>
            </c:strRef>
          </c:cat>
          <c:val>
            <c:numRef>
              <c:f>'RT Intra-Regional Travel'!$S$8:$S$10</c:f>
              <c:numCache>
                <c:formatCode>"$"#,##0</c:formatCode>
                <c:ptCount val="3"/>
                <c:pt idx="0">
                  <c:v>57.8</c:v>
                </c:pt>
                <c:pt idx="1">
                  <c:v>48</c:v>
                </c:pt>
                <c:pt idx="2">
                  <c:v>52</c:v>
                </c:pt>
              </c:numCache>
            </c:numRef>
          </c:val>
          <c:extLst>
            <c:ext xmlns:c16="http://schemas.microsoft.com/office/drawing/2014/chart" uri="{C3380CC4-5D6E-409C-BE32-E72D297353CC}">
              <c16:uniqueId val="{00000002-DBCC-B343-A424-25C4C01B8911}"/>
            </c:ext>
          </c:extLst>
        </c:ser>
        <c:ser>
          <c:idx val="3"/>
          <c:order val="3"/>
          <c:tx>
            <c:strRef>
              <c:f>'RT Intra-Regional Travel'!$T$7</c:f>
              <c:strCache>
                <c:ptCount val="1"/>
                <c:pt idx="0">
                  <c:v>SV-CV Period-Total Travel Time (minutes) saved by Auto travelers (using 15% uplift of time) versus HSR travelers  (negative # is TTT minutes more of Auto travel than HSR travel)</c:v>
                </c:pt>
              </c:strCache>
            </c:strRef>
          </c:tx>
          <c:spPr>
            <a:pattFill prst="openDmnd">
              <a:fgClr>
                <a:schemeClr val="bg1"/>
              </a:fgClr>
              <a:bgClr>
                <a:srgbClr val="008000"/>
              </a:bgClr>
            </a:pattFill>
          </c:spPr>
          <c:invertIfNegative val="0"/>
          <c:dLbls>
            <c:spPr>
              <a:noFill/>
              <a:ln w="25400">
                <a:noFill/>
              </a:ln>
            </c:spPr>
            <c:txPr>
              <a:bodyPr/>
              <a:lstStyle/>
              <a:p>
                <a:pPr>
                  <a:defRPr sz="600" b="1" i="0">
                    <a:solidFill>
                      <a:srgbClr val="008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Travel'!$P$8:$P$10</c:f>
              <c:strCache>
                <c:ptCount val="3"/>
                <c:pt idx="0">
                  <c:v>SV-CV Period: MTC    San Francisco-Gilroy/                                                               78miles</c:v>
                </c:pt>
                <c:pt idx="1">
                  <c:v>SV-CV Period:  Madera-Bakersfield/                                                      140miles</c:v>
                </c:pt>
                <c:pt idx="2">
                  <c:v>SV-CV Period: Merced-Bakersfield/                                          164 miles</c:v>
                </c:pt>
              </c:strCache>
            </c:strRef>
          </c:cat>
          <c:val>
            <c:numRef>
              <c:f>'RT Intra-Regional Travel'!$T$8:$T$10</c:f>
              <c:numCache>
                <c:formatCode>0</c:formatCode>
                <c:ptCount val="3"/>
                <c:pt idx="0">
                  <c:v>84.200000000000017</c:v>
                </c:pt>
                <c:pt idx="1">
                  <c:v>69.400000000000006</c:v>
                </c:pt>
                <c:pt idx="2">
                  <c:v>74</c:v>
                </c:pt>
              </c:numCache>
            </c:numRef>
          </c:val>
          <c:extLst>
            <c:ext xmlns:c16="http://schemas.microsoft.com/office/drawing/2014/chart" uri="{C3380CC4-5D6E-409C-BE32-E72D297353CC}">
              <c16:uniqueId val="{00000003-DBCC-B343-A424-25C4C01B8911}"/>
            </c:ext>
          </c:extLst>
        </c:ser>
        <c:dLbls>
          <c:showLegendKey val="0"/>
          <c:showVal val="0"/>
          <c:showCatName val="0"/>
          <c:showSerName val="0"/>
          <c:showPercent val="0"/>
          <c:showBubbleSize val="0"/>
        </c:dLbls>
        <c:gapWidth val="150"/>
        <c:axId val="2127827592"/>
        <c:axId val="2127830936"/>
      </c:barChart>
      <c:catAx>
        <c:axId val="2127827592"/>
        <c:scaling>
          <c:orientation val="minMax"/>
        </c:scaling>
        <c:delete val="0"/>
        <c:axPos val="b"/>
        <c:numFmt formatCode="General" sourceLinked="0"/>
        <c:majorTickMark val="out"/>
        <c:minorTickMark val="none"/>
        <c:tickLblPos val="low"/>
        <c:txPr>
          <a:bodyPr/>
          <a:lstStyle/>
          <a:p>
            <a:pPr>
              <a:defRPr sz="600" b="1" i="0"/>
            </a:pPr>
            <a:endParaRPr lang="en-US"/>
          </a:p>
        </c:txPr>
        <c:crossAx val="2127830936"/>
        <c:crosses val="autoZero"/>
        <c:auto val="1"/>
        <c:lblAlgn val="ctr"/>
        <c:lblOffset val="100"/>
        <c:noMultiLvlLbl val="0"/>
      </c:catAx>
      <c:valAx>
        <c:axId val="2127830936"/>
        <c:scaling>
          <c:orientation val="minMax"/>
          <c:max val="200"/>
          <c:min val="-50"/>
        </c:scaling>
        <c:delete val="0"/>
        <c:axPos val="l"/>
        <c:majorGridlines>
          <c:spPr>
            <a:ln w="12700" cmpd="sng">
              <a:prstDash val="sysDot"/>
            </a:ln>
          </c:spPr>
        </c:majorGridlines>
        <c:numFmt formatCode="&quot;$&quot;#,##0" sourceLinked="1"/>
        <c:majorTickMark val="out"/>
        <c:minorTickMark val="none"/>
        <c:tickLblPos val="nextTo"/>
        <c:txPr>
          <a:bodyPr/>
          <a:lstStyle/>
          <a:p>
            <a:pPr>
              <a:defRPr sz="600"/>
            </a:pPr>
            <a:endParaRPr lang="en-US"/>
          </a:p>
        </c:txPr>
        <c:crossAx val="2127827592"/>
        <c:crosses val="autoZero"/>
        <c:crossBetween val="between"/>
      </c:valAx>
      <c:spPr>
        <a:noFill/>
        <a:ln w="25400">
          <a:noFill/>
        </a:ln>
      </c:spPr>
    </c:plotArea>
    <c:legend>
      <c:legendPos val="r"/>
      <c:layout>
        <c:manualLayout>
          <c:xMode val="edge"/>
          <c:yMode val="edge"/>
          <c:x val="0"/>
          <c:y val="3.7621796663421976E-3"/>
          <c:w val="0.79098441623865168"/>
          <c:h val="0.19188226454801499"/>
        </c:manualLayout>
      </c:layout>
      <c:overlay val="1"/>
      <c:txPr>
        <a:bodyPr/>
        <a:lstStyle/>
        <a:p>
          <a:pPr>
            <a:defRPr sz="600" b="1" i="0"/>
          </a:pPr>
          <a:endParaRPr lang="en-US"/>
        </a:p>
      </c:txPr>
    </c:legend>
    <c:plotVisOnly val="1"/>
    <c:dispBlanksAs val="gap"/>
    <c:showDLblsOverMax val="0"/>
  </c:chart>
  <c:spPr>
    <a:noFill/>
    <a:ln w="9525">
      <a:noFill/>
    </a:ln>
  </c:spPr>
  <c:printSettings>
    <c:headerFooter/>
    <c:pageMargins b="1" l="0.750000000000001" r="0.75000000000000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20253718285211E-2"/>
          <c:y val="5.0925925925925923E-2"/>
          <c:w val="0.9547797462817148"/>
          <c:h val="0.8381481481481482"/>
        </c:manualLayout>
      </c:layout>
      <c:barChart>
        <c:barDir val="col"/>
        <c:grouping val="clustered"/>
        <c:varyColors val="0"/>
        <c:ser>
          <c:idx val="0"/>
          <c:order val="0"/>
          <c:tx>
            <c:strRef>
              <c:f>'RT Travel Adjacent Regions'!$AR$90</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dLbl>
              <c:idx val="0"/>
              <c:layout>
                <c:manualLayout>
                  <c:x val="0"/>
                  <c:y val="4.79399656788857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AC-1447-8A09-23A6842369E3}"/>
                </c:ext>
              </c:extLst>
            </c:dLbl>
            <c:dLbl>
              <c:idx val="1"/>
              <c:layout>
                <c:manualLayout>
                  <c:x val="-4.2849799868057216E-17"/>
                  <c:y val="5.84155801895335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AC-1447-8A09-23A6842369E3}"/>
                </c:ext>
              </c:extLst>
            </c:dLbl>
            <c:dLbl>
              <c:idx val="2"/>
              <c:layout>
                <c:manualLayout>
                  <c:x val="0"/>
                  <c:y val="4.73892315201674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AC-1447-8A09-23A6842369E3}"/>
                </c:ext>
              </c:extLst>
            </c:dLbl>
            <c:dLbl>
              <c:idx val="4"/>
              <c:layout>
                <c:manualLayout>
                  <c:x val="0"/>
                  <c:y val="4.56102435325574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AB-8743-818B-32B09AB3B53B}"/>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Regions'!$AQ$91:$AQ$95</c:f>
              <c:strCache>
                <c:ptCount val="5"/>
                <c:pt idx="0">
                  <c:v>Oakland-Fresno/             209miles</c:v>
                </c:pt>
                <c:pt idx="1">
                  <c:v>Oakland-KT Hanford/                253miles</c:v>
                </c:pt>
                <c:pt idx="2">
                  <c:v>Oakland-Merced/                       268miles</c:v>
                </c:pt>
                <c:pt idx="3">
                  <c:v>Oakland-Bakersfield/                            316miles</c:v>
                </c:pt>
                <c:pt idx="4">
                  <c:v>Oakland-Sacramento/                                324miles</c:v>
                </c:pt>
              </c:strCache>
            </c:strRef>
          </c:cat>
          <c:val>
            <c:numRef>
              <c:f>'RT Travel Adjacent Regions'!$AR$91:$AR$95</c:f>
              <c:numCache>
                <c:formatCode>"$"#,##0</c:formatCode>
                <c:ptCount val="5"/>
                <c:pt idx="0">
                  <c:v>81.42</c:v>
                </c:pt>
                <c:pt idx="1">
                  <c:v>94.76</c:v>
                </c:pt>
                <c:pt idx="2">
                  <c:v>56.580000000000005</c:v>
                </c:pt>
                <c:pt idx="3">
                  <c:v>125.12</c:v>
                </c:pt>
                <c:pt idx="4">
                  <c:v>37.72</c:v>
                </c:pt>
              </c:numCache>
            </c:numRef>
          </c:val>
          <c:extLst>
            <c:ext xmlns:c16="http://schemas.microsoft.com/office/drawing/2014/chart" uri="{C3380CC4-5D6E-409C-BE32-E72D297353CC}">
              <c16:uniqueId val="{00000000-72AB-8743-818B-32B09AB3B53B}"/>
            </c:ext>
          </c:extLst>
        </c:ser>
        <c:ser>
          <c:idx val="1"/>
          <c:order val="1"/>
          <c:tx>
            <c:strRef>
              <c:f>'RT Travel Adjacent Regions'!$AS$90</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Regions'!$AQ$91:$AQ$95</c:f>
              <c:strCache>
                <c:ptCount val="5"/>
                <c:pt idx="0">
                  <c:v>Oakland-Fresno/             209miles</c:v>
                </c:pt>
                <c:pt idx="1">
                  <c:v>Oakland-KT Hanford/                253miles</c:v>
                </c:pt>
                <c:pt idx="2">
                  <c:v>Oakland-Merced/                       268miles</c:v>
                </c:pt>
                <c:pt idx="3">
                  <c:v>Oakland-Bakersfield/                            316miles</c:v>
                </c:pt>
                <c:pt idx="4">
                  <c:v>Oakland-Sacramento/                                324miles</c:v>
                </c:pt>
              </c:strCache>
            </c:strRef>
          </c:cat>
          <c:val>
            <c:numRef>
              <c:f>'RT Travel Adjacent Regions'!$AS$91:$AS$95</c:f>
              <c:numCache>
                <c:formatCode>"$"#,##0</c:formatCode>
                <c:ptCount val="5"/>
                <c:pt idx="0">
                  <c:v>177.9</c:v>
                </c:pt>
                <c:pt idx="1">
                  <c:v>193.9</c:v>
                </c:pt>
                <c:pt idx="2">
                  <c:v>171.9</c:v>
                </c:pt>
                <c:pt idx="3">
                  <c:v>215.9</c:v>
                </c:pt>
                <c:pt idx="4">
                  <c:v>189.9</c:v>
                </c:pt>
              </c:numCache>
            </c:numRef>
          </c:val>
          <c:extLst>
            <c:ext xmlns:c16="http://schemas.microsoft.com/office/drawing/2014/chart" uri="{C3380CC4-5D6E-409C-BE32-E72D297353CC}">
              <c16:uniqueId val="{00000001-72AB-8743-818B-32B09AB3B53B}"/>
            </c:ext>
          </c:extLst>
        </c:ser>
        <c:ser>
          <c:idx val="2"/>
          <c:order val="2"/>
          <c:tx>
            <c:strRef>
              <c:f>'RT Travel Adjacent Regions'!$AT$90</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Regions'!$AQ$91:$AQ$95</c:f>
              <c:strCache>
                <c:ptCount val="5"/>
                <c:pt idx="0">
                  <c:v>Oakland-Fresno/             209miles</c:v>
                </c:pt>
                <c:pt idx="1">
                  <c:v>Oakland-KT Hanford/                253miles</c:v>
                </c:pt>
                <c:pt idx="2">
                  <c:v>Oakland-Merced/                       268miles</c:v>
                </c:pt>
                <c:pt idx="3">
                  <c:v>Oakland-Bakersfield/                            316miles</c:v>
                </c:pt>
                <c:pt idx="4">
                  <c:v>Oakland-Sacramento/                                324miles</c:v>
                </c:pt>
              </c:strCache>
            </c:strRef>
          </c:cat>
          <c:val>
            <c:numRef>
              <c:f>'RT Travel Adjacent Regions'!$AT$91:$AT$95</c:f>
              <c:numCache>
                <c:formatCode>"$"#,##0</c:formatCode>
                <c:ptCount val="5"/>
                <c:pt idx="0">
                  <c:v>733</c:v>
                </c:pt>
                <c:pt idx="1">
                  <c:v>748</c:v>
                </c:pt>
                <c:pt idx="2">
                  <c:v>748</c:v>
                </c:pt>
                <c:pt idx="3">
                  <c:v>345</c:v>
                </c:pt>
                <c:pt idx="4">
                  <c:v>348</c:v>
                </c:pt>
              </c:numCache>
            </c:numRef>
          </c:val>
          <c:extLst>
            <c:ext xmlns:c16="http://schemas.microsoft.com/office/drawing/2014/chart" uri="{C3380CC4-5D6E-409C-BE32-E72D297353CC}">
              <c16:uniqueId val="{00000002-72AB-8743-818B-32B09AB3B53B}"/>
            </c:ext>
          </c:extLst>
        </c:ser>
        <c:ser>
          <c:idx val="3"/>
          <c:order val="3"/>
          <c:tx>
            <c:strRef>
              <c:f>'RT Travel Adjacent Regions'!$AU$90</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Regions'!$AQ$91:$AQ$95</c:f>
              <c:strCache>
                <c:ptCount val="5"/>
                <c:pt idx="0">
                  <c:v>Oakland-Fresno/             209miles</c:v>
                </c:pt>
                <c:pt idx="1">
                  <c:v>Oakland-KT Hanford/                253miles</c:v>
                </c:pt>
                <c:pt idx="2">
                  <c:v>Oakland-Merced/                       268miles</c:v>
                </c:pt>
                <c:pt idx="3">
                  <c:v>Oakland-Bakersfield/                            316miles</c:v>
                </c:pt>
                <c:pt idx="4">
                  <c:v>Oakland-Sacramento/                                324miles</c:v>
                </c:pt>
              </c:strCache>
            </c:strRef>
          </c:cat>
          <c:val>
            <c:numRef>
              <c:f>'RT Travel Adjacent Regions'!$AU$91:$AU$95</c:f>
              <c:numCache>
                <c:formatCode>0</c:formatCode>
                <c:ptCount val="5"/>
                <c:pt idx="0">
                  <c:v>76.700000000000045</c:v>
                </c:pt>
                <c:pt idx="1">
                  <c:v>77.000000000000057</c:v>
                </c:pt>
                <c:pt idx="2">
                  <c:v>253.40000000000003</c:v>
                </c:pt>
                <c:pt idx="3">
                  <c:v>15.600000000000023</c:v>
                </c:pt>
                <c:pt idx="4">
                  <c:v>750</c:v>
                </c:pt>
              </c:numCache>
            </c:numRef>
          </c:val>
          <c:extLst>
            <c:ext xmlns:c16="http://schemas.microsoft.com/office/drawing/2014/chart" uri="{C3380CC4-5D6E-409C-BE32-E72D297353CC}">
              <c16:uniqueId val="{00000003-72AB-8743-818B-32B09AB3B53B}"/>
            </c:ext>
          </c:extLst>
        </c:ser>
        <c:ser>
          <c:idx val="4"/>
          <c:order val="4"/>
          <c:tx>
            <c:strRef>
              <c:f>'RT Travel Adjacent Regions'!$AV$90</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Regions'!$AQ$91:$AQ$95</c:f>
              <c:strCache>
                <c:ptCount val="5"/>
                <c:pt idx="0">
                  <c:v>Oakland-Fresno/             209miles</c:v>
                </c:pt>
                <c:pt idx="1">
                  <c:v>Oakland-KT Hanford/                253miles</c:v>
                </c:pt>
                <c:pt idx="2">
                  <c:v>Oakland-Merced/                       268miles</c:v>
                </c:pt>
                <c:pt idx="3">
                  <c:v>Oakland-Bakersfield/                            316miles</c:v>
                </c:pt>
                <c:pt idx="4">
                  <c:v>Oakland-Sacramento/                                324miles</c:v>
                </c:pt>
              </c:strCache>
            </c:strRef>
          </c:cat>
          <c:val>
            <c:numRef>
              <c:f>'RT Travel Adjacent Regions'!$AV$91:$AV$95</c:f>
              <c:numCache>
                <c:formatCode>#,##0</c:formatCode>
                <c:ptCount val="5"/>
                <c:pt idx="0">
                  <c:v>-276</c:v>
                </c:pt>
                <c:pt idx="1">
                  <c:v>-232</c:v>
                </c:pt>
                <c:pt idx="2">
                  <c:v>-212</c:v>
                </c:pt>
                <c:pt idx="3">
                  <c:v>194</c:v>
                </c:pt>
                <c:pt idx="4">
                  <c:v>326</c:v>
                </c:pt>
              </c:numCache>
            </c:numRef>
          </c:val>
          <c:extLst>
            <c:ext xmlns:c16="http://schemas.microsoft.com/office/drawing/2014/chart" uri="{C3380CC4-5D6E-409C-BE32-E72D297353CC}">
              <c16:uniqueId val="{00000004-72AB-8743-818B-32B09AB3B53B}"/>
            </c:ext>
          </c:extLst>
        </c:ser>
        <c:dLbls>
          <c:showLegendKey val="0"/>
          <c:showVal val="0"/>
          <c:showCatName val="0"/>
          <c:showSerName val="0"/>
          <c:showPercent val="0"/>
          <c:showBubbleSize val="0"/>
        </c:dLbls>
        <c:gapWidth val="50"/>
        <c:axId val="1970826592"/>
        <c:axId val="1970828272"/>
      </c:barChart>
      <c:catAx>
        <c:axId val="19708265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970828272"/>
        <c:crosses val="autoZero"/>
        <c:auto val="1"/>
        <c:lblAlgn val="ctr"/>
        <c:lblOffset val="100"/>
        <c:noMultiLvlLbl val="0"/>
      </c:catAx>
      <c:valAx>
        <c:axId val="1970828272"/>
        <c:scaling>
          <c:orientation val="minMax"/>
          <c:max val="1400"/>
          <c:min val="-3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low"/>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970826592"/>
        <c:crosses val="autoZero"/>
        <c:crossBetween val="between"/>
      </c:valAx>
      <c:spPr>
        <a:noFill/>
        <a:ln>
          <a:noFill/>
        </a:ln>
        <a:effectLst/>
      </c:spPr>
    </c:plotArea>
    <c:legend>
      <c:legendPos val="b"/>
      <c:layout>
        <c:manualLayout>
          <c:xMode val="edge"/>
          <c:yMode val="edge"/>
          <c:x val="0"/>
          <c:y val="6.5268137542325799E-2"/>
          <c:w val="0.99233355228329234"/>
          <c:h val="0.2768673234135694"/>
        </c:manualLayout>
      </c:layout>
      <c:overlay val="0"/>
      <c:spPr>
        <a:noFill/>
        <a:ln>
          <a:noFill/>
        </a:ln>
        <a:effectLst/>
      </c:spPr>
      <c:txPr>
        <a:bodyPr rot="0" spcFirstLastPara="1" vertOverflow="ellipsis" vert="horz" wrap="square" anchor="ctr" anchorCtr="1"/>
        <a:lstStyle/>
        <a:p>
          <a:pPr>
            <a:defRPr sz="65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34251968503935E-2"/>
          <c:y val="5.0925925925925923E-2"/>
          <c:w val="0.94165026246719163"/>
          <c:h val="0.92704323417906098"/>
        </c:manualLayout>
      </c:layout>
      <c:barChart>
        <c:barDir val="col"/>
        <c:grouping val="clustered"/>
        <c:varyColors val="0"/>
        <c:ser>
          <c:idx val="0"/>
          <c:order val="0"/>
          <c:tx>
            <c:strRef>
              <c:f>'RT Travel Adjacent Regions'!$AR$102</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009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Regions'!$AQ$103:$AQ$107</c:f>
              <c:strCache>
                <c:ptCount val="5"/>
                <c:pt idx="0">
                  <c:v>Madera-San Jose/                            127miles</c:v>
                </c:pt>
                <c:pt idx="1">
                  <c:v>Bakersfield-Burbank (BUR)/                               154miles</c:v>
                </c:pt>
                <c:pt idx="2">
                  <c:v>Fresno-Sacramento/                         172miles</c:v>
                </c:pt>
                <c:pt idx="3">
                  <c:v>Merced-Gilroy/                                               180miles</c:v>
                </c:pt>
                <c:pt idx="4">
                  <c:v>Bakersfield-Anaheim/                                                    187miles</c:v>
                </c:pt>
              </c:strCache>
            </c:strRef>
          </c:cat>
          <c:val>
            <c:numRef>
              <c:f>'RT Travel Adjacent Regions'!$AR$103:$AR$107</c:f>
              <c:numCache>
                <c:formatCode>"$"#,##0</c:formatCode>
                <c:ptCount val="5"/>
                <c:pt idx="0">
                  <c:v>58.88</c:v>
                </c:pt>
                <c:pt idx="1">
                  <c:v>46.46</c:v>
                </c:pt>
                <c:pt idx="2">
                  <c:v>79.12</c:v>
                </c:pt>
                <c:pt idx="3">
                  <c:v>38.64</c:v>
                </c:pt>
                <c:pt idx="4">
                  <c:v>64.86</c:v>
                </c:pt>
              </c:numCache>
            </c:numRef>
          </c:val>
          <c:extLst>
            <c:ext xmlns:c16="http://schemas.microsoft.com/office/drawing/2014/chart" uri="{C3380CC4-5D6E-409C-BE32-E72D297353CC}">
              <c16:uniqueId val="{00000000-F8FA-174C-9FC3-A6DFF2CEB939}"/>
            </c:ext>
          </c:extLst>
        </c:ser>
        <c:ser>
          <c:idx val="1"/>
          <c:order val="1"/>
          <c:tx>
            <c:strRef>
              <c:f>'RT Travel Adjacent Regions'!$AS$102</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Regions'!$AQ$103:$AQ$107</c:f>
              <c:strCache>
                <c:ptCount val="5"/>
                <c:pt idx="0">
                  <c:v>Madera-San Jose/                            127miles</c:v>
                </c:pt>
                <c:pt idx="1">
                  <c:v>Bakersfield-Burbank (BUR)/                               154miles</c:v>
                </c:pt>
                <c:pt idx="2">
                  <c:v>Fresno-Sacramento/                         172miles</c:v>
                </c:pt>
                <c:pt idx="3">
                  <c:v>Merced-Gilroy/                                               180miles</c:v>
                </c:pt>
                <c:pt idx="4">
                  <c:v>Bakersfield-Anaheim/                                                    187miles</c:v>
                </c:pt>
              </c:strCache>
            </c:strRef>
          </c:cat>
          <c:val>
            <c:numRef>
              <c:f>'RT Travel Adjacent Regions'!$AS$103:$AS$107</c:f>
              <c:numCache>
                <c:formatCode>"$"#,##0</c:formatCode>
                <c:ptCount val="5"/>
                <c:pt idx="0">
                  <c:v>147</c:v>
                </c:pt>
                <c:pt idx="1">
                  <c:v>49</c:v>
                </c:pt>
                <c:pt idx="2">
                  <c:v>123</c:v>
                </c:pt>
                <c:pt idx="3">
                  <c:v>141</c:v>
                </c:pt>
                <c:pt idx="4">
                  <c:v>66.5</c:v>
                </c:pt>
              </c:numCache>
            </c:numRef>
          </c:val>
          <c:extLst>
            <c:ext xmlns:c16="http://schemas.microsoft.com/office/drawing/2014/chart" uri="{C3380CC4-5D6E-409C-BE32-E72D297353CC}">
              <c16:uniqueId val="{00000001-F8FA-174C-9FC3-A6DFF2CEB939}"/>
            </c:ext>
          </c:extLst>
        </c:ser>
        <c:ser>
          <c:idx val="2"/>
          <c:order val="2"/>
          <c:tx>
            <c:strRef>
              <c:f>'RT Travel Adjacent Regions'!$AT$102</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Regions'!$AQ$103:$AQ$107</c:f>
              <c:strCache>
                <c:ptCount val="5"/>
                <c:pt idx="0">
                  <c:v>Madera-San Jose/                            127miles</c:v>
                </c:pt>
                <c:pt idx="1">
                  <c:v>Bakersfield-Burbank (BUR)/                               154miles</c:v>
                </c:pt>
                <c:pt idx="2">
                  <c:v>Fresno-Sacramento/                         172miles</c:v>
                </c:pt>
                <c:pt idx="3">
                  <c:v>Merced-Gilroy/                                               180miles</c:v>
                </c:pt>
                <c:pt idx="4">
                  <c:v>Bakersfield-Anaheim/                                                    187miles</c:v>
                </c:pt>
              </c:strCache>
            </c:strRef>
          </c:cat>
          <c:val>
            <c:numRef>
              <c:f>'RT Travel Adjacent Regions'!$AT$103:$AT$107</c:f>
              <c:numCache>
                <c:formatCode>"$"#,##0</c:formatCode>
                <c:ptCount val="5"/>
                <c:pt idx="0">
                  <c:v>504</c:v>
                </c:pt>
                <c:pt idx="1">
                  <c:v>759</c:v>
                </c:pt>
                <c:pt idx="2">
                  <c:v>533</c:v>
                </c:pt>
                <c:pt idx="3">
                  <c:v>519</c:v>
                </c:pt>
                <c:pt idx="4">
                  <c:v>944</c:v>
                </c:pt>
              </c:numCache>
            </c:numRef>
          </c:val>
          <c:extLst>
            <c:ext xmlns:c16="http://schemas.microsoft.com/office/drawing/2014/chart" uri="{C3380CC4-5D6E-409C-BE32-E72D297353CC}">
              <c16:uniqueId val="{00000002-F8FA-174C-9FC3-A6DFF2CEB939}"/>
            </c:ext>
          </c:extLst>
        </c:ser>
        <c:ser>
          <c:idx val="3"/>
          <c:order val="3"/>
          <c:tx>
            <c:strRef>
              <c:f>'RT Travel Adjacent Regions'!$AU$102</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Regions'!$AQ$103:$AQ$107</c:f>
              <c:strCache>
                <c:ptCount val="5"/>
                <c:pt idx="0">
                  <c:v>Madera-San Jose/                            127miles</c:v>
                </c:pt>
                <c:pt idx="1">
                  <c:v>Bakersfield-Burbank (BUR)/                               154miles</c:v>
                </c:pt>
                <c:pt idx="2">
                  <c:v>Fresno-Sacramento/                         172miles</c:v>
                </c:pt>
                <c:pt idx="3">
                  <c:v>Merced-Gilroy/                                               180miles</c:v>
                </c:pt>
                <c:pt idx="4">
                  <c:v>Bakersfield-Anaheim/                                                    187miles</c:v>
                </c:pt>
              </c:strCache>
            </c:strRef>
          </c:cat>
          <c:val>
            <c:numRef>
              <c:f>'RT Travel Adjacent Regions'!$AU$103:$AU$107</c:f>
              <c:numCache>
                <c:formatCode>0</c:formatCode>
                <c:ptCount val="5"/>
                <c:pt idx="0">
                  <c:v>-31.799999999999955</c:v>
                </c:pt>
                <c:pt idx="1">
                  <c:v>185.20000000000002</c:v>
                </c:pt>
                <c:pt idx="2">
                  <c:v>385.20000000000005</c:v>
                </c:pt>
                <c:pt idx="3">
                  <c:v>106.70000000000002</c:v>
                </c:pt>
                <c:pt idx="4">
                  <c:v>291.8</c:v>
                </c:pt>
              </c:numCache>
            </c:numRef>
          </c:val>
          <c:extLst>
            <c:ext xmlns:c16="http://schemas.microsoft.com/office/drawing/2014/chart" uri="{C3380CC4-5D6E-409C-BE32-E72D297353CC}">
              <c16:uniqueId val="{00000003-F8FA-174C-9FC3-A6DFF2CEB939}"/>
            </c:ext>
          </c:extLst>
        </c:ser>
        <c:ser>
          <c:idx val="4"/>
          <c:order val="4"/>
          <c:tx>
            <c:strRef>
              <c:f>'RT Travel Adjacent Regions'!$AV$102</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dLbl>
              <c:idx val="0"/>
              <c:layout>
                <c:manualLayout>
                  <c:x val="-2.5462668816039986E-17"/>
                  <c:y val="9.25925925925925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FA-174C-9FC3-A6DFF2CEB939}"/>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Regions'!$AQ$103:$AQ$107</c:f>
              <c:strCache>
                <c:ptCount val="5"/>
                <c:pt idx="0">
                  <c:v>Madera-San Jose/                            127miles</c:v>
                </c:pt>
                <c:pt idx="1">
                  <c:v>Bakersfield-Burbank (BUR)/                               154miles</c:v>
                </c:pt>
                <c:pt idx="2">
                  <c:v>Fresno-Sacramento/                         172miles</c:v>
                </c:pt>
                <c:pt idx="3">
                  <c:v>Merced-Gilroy/                                               180miles</c:v>
                </c:pt>
                <c:pt idx="4">
                  <c:v>Bakersfield-Anaheim/                                                    187miles</c:v>
                </c:pt>
              </c:strCache>
            </c:strRef>
          </c:cat>
          <c:val>
            <c:numRef>
              <c:f>'RT Travel Adjacent Regions'!$AV$103:$AV$107</c:f>
              <c:numCache>
                <c:formatCode>#,##0</c:formatCode>
                <c:ptCount val="5"/>
                <c:pt idx="0">
                  <c:v>-484</c:v>
                </c:pt>
                <c:pt idx="1">
                  <c:v>-336</c:v>
                </c:pt>
                <c:pt idx="2">
                  <c:v>72</c:v>
                </c:pt>
                <c:pt idx="3">
                  <c:v>-426</c:v>
                </c:pt>
                <c:pt idx="4">
                  <c:v>-250</c:v>
                </c:pt>
              </c:numCache>
            </c:numRef>
          </c:val>
          <c:extLst>
            <c:ext xmlns:c16="http://schemas.microsoft.com/office/drawing/2014/chart" uri="{C3380CC4-5D6E-409C-BE32-E72D297353CC}">
              <c16:uniqueId val="{00000004-F8FA-174C-9FC3-A6DFF2CEB939}"/>
            </c:ext>
          </c:extLst>
        </c:ser>
        <c:dLbls>
          <c:showLegendKey val="0"/>
          <c:showVal val="0"/>
          <c:showCatName val="0"/>
          <c:showSerName val="0"/>
          <c:showPercent val="0"/>
          <c:showBubbleSize val="0"/>
        </c:dLbls>
        <c:gapWidth val="49"/>
        <c:axId val="1970012864"/>
        <c:axId val="2029280416"/>
      </c:barChart>
      <c:catAx>
        <c:axId val="1970012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2029280416"/>
        <c:crosses val="autoZero"/>
        <c:auto val="1"/>
        <c:lblAlgn val="ctr"/>
        <c:lblOffset val="100"/>
        <c:noMultiLvlLbl val="0"/>
      </c:catAx>
      <c:valAx>
        <c:axId val="2029280416"/>
        <c:scaling>
          <c:orientation val="minMax"/>
          <c:max val="1600"/>
          <c:min val="-5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970012864"/>
        <c:crosses val="autoZero"/>
        <c:crossBetween val="between"/>
      </c:valAx>
      <c:spPr>
        <a:noFill/>
        <a:ln>
          <a:noFill/>
        </a:ln>
        <a:effectLst/>
      </c:spPr>
    </c:plotArea>
    <c:legend>
      <c:legendPos val="b"/>
      <c:layout>
        <c:manualLayout>
          <c:xMode val="edge"/>
          <c:yMode val="edge"/>
          <c:x val="1.8279402540724576E-4"/>
          <c:y val="2.4723679800046965E-2"/>
          <c:w val="0.92864421708813238"/>
          <c:h val="0.28339216309505888"/>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14046910961306E-2"/>
          <c:y val="4.325031872729513E-2"/>
          <c:w val="0.95798595308903867"/>
          <c:h val="0.93014841329843589"/>
        </c:manualLayout>
      </c:layout>
      <c:barChart>
        <c:barDir val="col"/>
        <c:grouping val="clustered"/>
        <c:varyColors val="0"/>
        <c:ser>
          <c:idx val="0"/>
          <c:order val="0"/>
          <c:tx>
            <c:strRef>
              <c:f>'RT Travel Adjacent Regions'!$AR$114</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Regions'!$AQ$115:$AQ$118</c:f>
              <c:strCache>
                <c:ptCount val="4"/>
                <c:pt idx="0">
                  <c:v>KT Hanford -Burbank (BUR)/                               192miles</c:v>
                </c:pt>
                <c:pt idx="1">
                  <c:v>San Jose-Modesto/                                              210miles</c:v>
                </c:pt>
                <c:pt idx="2">
                  <c:v>Fresno-Burbank (BUR)/                         261miles</c:v>
                </c:pt>
                <c:pt idx="3">
                  <c:v>Fresno-Los Angeles/                                                      267miles</c:v>
                </c:pt>
              </c:strCache>
            </c:strRef>
          </c:cat>
          <c:val>
            <c:numRef>
              <c:f>'RT Travel Adjacent Regions'!$AR$115:$AR$118</c:f>
              <c:numCache>
                <c:formatCode>"$"#,##0</c:formatCode>
                <c:ptCount val="4"/>
                <c:pt idx="0">
                  <c:v>84.64</c:v>
                </c:pt>
                <c:pt idx="1">
                  <c:v>43.24</c:v>
                </c:pt>
                <c:pt idx="2">
                  <c:v>95.22</c:v>
                </c:pt>
                <c:pt idx="3">
                  <c:v>101.66000000000001</c:v>
                </c:pt>
              </c:numCache>
            </c:numRef>
          </c:val>
          <c:extLst>
            <c:ext xmlns:c16="http://schemas.microsoft.com/office/drawing/2014/chart" uri="{C3380CC4-5D6E-409C-BE32-E72D297353CC}">
              <c16:uniqueId val="{00000000-8C99-3445-9124-91DD959F5CEC}"/>
            </c:ext>
          </c:extLst>
        </c:ser>
        <c:ser>
          <c:idx val="1"/>
          <c:order val="1"/>
          <c:tx>
            <c:strRef>
              <c:f>'RT Travel Adjacent Regions'!$AS$114</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Regions'!$AQ$115:$AQ$118</c:f>
              <c:strCache>
                <c:ptCount val="4"/>
                <c:pt idx="0">
                  <c:v>KT Hanford -Burbank (BUR)/                               192miles</c:v>
                </c:pt>
                <c:pt idx="1">
                  <c:v>San Jose-Modesto/                                              210miles</c:v>
                </c:pt>
                <c:pt idx="2">
                  <c:v>Fresno-Burbank (BUR)/                         261miles</c:v>
                </c:pt>
                <c:pt idx="3">
                  <c:v>Fresno-Los Angeles/                                                      267miles</c:v>
                </c:pt>
              </c:strCache>
            </c:strRef>
          </c:cat>
          <c:val>
            <c:numRef>
              <c:f>'RT Travel Adjacent Regions'!$AS$115:$AS$118</c:f>
              <c:numCache>
                <c:formatCode>"$"#,##0</c:formatCode>
                <c:ptCount val="4"/>
                <c:pt idx="0">
                  <c:v>157</c:v>
                </c:pt>
                <c:pt idx="1">
                  <c:v>149</c:v>
                </c:pt>
                <c:pt idx="2">
                  <c:v>167</c:v>
                </c:pt>
                <c:pt idx="3">
                  <c:v>167</c:v>
                </c:pt>
              </c:numCache>
            </c:numRef>
          </c:val>
          <c:extLst>
            <c:ext xmlns:c16="http://schemas.microsoft.com/office/drawing/2014/chart" uri="{C3380CC4-5D6E-409C-BE32-E72D297353CC}">
              <c16:uniqueId val="{00000001-8C99-3445-9124-91DD959F5CEC}"/>
            </c:ext>
          </c:extLst>
        </c:ser>
        <c:ser>
          <c:idx val="2"/>
          <c:order val="2"/>
          <c:tx>
            <c:strRef>
              <c:f>'RT Travel Adjacent Regions'!$AT$114</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Regions'!$AQ$115:$AQ$118</c:f>
              <c:strCache>
                <c:ptCount val="4"/>
                <c:pt idx="0">
                  <c:v>KT Hanford -Burbank (BUR)/                               192miles</c:v>
                </c:pt>
                <c:pt idx="1">
                  <c:v>San Jose-Modesto/                                              210miles</c:v>
                </c:pt>
                <c:pt idx="2">
                  <c:v>Fresno-Burbank (BUR)/                         261miles</c:v>
                </c:pt>
                <c:pt idx="3">
                  <c:v>Fresno-Los Angeles/                                                      267miles</c:v>
                </c:pt>
              </c:strCache>
            </c:strRef>
          </c:cat>
          <c:val>
            <c:numRef>
              <c:f>'RT Travel Adjacent Regions'!$AT$115:$AT$118</c:f>
              <c:numCache>
                <c:formatCode>"$"#,##0</c:formatCode>
                <c:ptCount val="4"/>
                <c:pt idx="0">
                  <c:v>730</c:v>
                </c:pt>
                <c:pt idx="1">
                  <c:v>362</c:v>
                </c:pt>
                <c:pt idx="2">
                  <c:v>715</c:v>
                </c:pt>
                <c:pt idx="3">
                  <c:v>396</c:v>
                </c:pt>
              </c:numCache>
            </c:numRef>
          </c:val>
          <c:extLst>
            <c:ext xmlns:c16="http://schemas.microsoft.com/office/drawing/2014/chart" uri="{C3380CC4-5D6E-409C-BE32-E72D297353CC}">
              <c16:uniqueId val="{00000002-8C99-3445-9124-91DD959F5CEC}"/>
            </c:ext>
          </c:extLst>
        </c:ser>
        <c:ser>
          <c:idx val="3"/>
          <c:order val="3"/>
          <c:tx>
            <c:strRef>
              <c:f>'RT Travel Adjacent Regions'!$AU$114</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Regions'!$AQ$115:$AQ$118</c:f>
              <c:strCache>
                <c:ptCount val="4"/>
                <c:pt idx="0">
                  <c:v>KT Hanford -Burbank (BUR)/                               192miles</c:v>
                </c:pt>
                <c:pt idx="1">
                  <c:v>San Jose-Modesto/                                              210miles</c:v>
                </c:pt>
                <c:pt idx="2">
                  <c:v>Fresno-Burbank (BUR)/                         261miles</c:v>
                </c:pt>
                <c:pt idx="3">
                  <c:v>Fresno-Los Angeles/                                                      267miles</c:v>
                </c:pt>
              </c:strCache>
            </c:strRef>
          </c:cat>
          <c:val>
            <c:numRef>
              <c:f>'RT Travel Adjacent Regions'!$AU$115:$AU$118</c:f>
              <c:numCache>
                <c:formatCode>0</c:formatCode>
                <c:ptCount val="4"/>
                <c:pt idx="0">
                  <c:v>126.20000000000005</c:v>
                </c:pt>
                <c:pt idx="1">
                  <c:v>196.8</c:v>
                </c:pt>
                <c:pt idx="2">
                  <c:v>112.70000000000005</c:v>
                </c:pt>
                <c:pt idx="3">
                  <c:v>403.3</c:v>
                </c:pt>
              </c:numCache>
            </c:numRef>
          </c:val>
          <c:extLst>
            <c:ext xmlns:c16="http://schemas.microsoft.com/office/drawing/2014/chart" uri="{C3380CC4-5D6E-409C-BE32-E72D297353CC}">
              <c16:uniqueId val="{00000003-8C99-3445-9124-91DD959F5CEC}"/>
            </c:ext>
          </c:extLst>
        </c:ser>
        <c:ser>
          <c:idx val="4"/>
          <c:order val="4"/>
          <c:tx>
            <c:strRef>
              <c:f>'RT Travel Adjacent Regions'!$AV$114</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Regions'!$AQ$115:$AQ$118</c:f>
              <c:strCache>
                <c:ptCount val="4"/>
                <c:pt idx="0">
                  <c:v>KT Hanford -Burbank (BUR)/                               192miles</c:v>
                </c:pt>
                <c:pt idx="1">
                  <c:v>San Jose-Modesto/                                              210miles</c:v>
                </c:pt>
                <c:pt idx="2">
                  <c:v>Fresno-Burbank (BUR)/                         261miles</c:v>
                </c:pt>
                <c:pt idx="3">
                  <c:v>Fresno-Los Angeles/                                                      267miles</c:v>
                </c:pt>
              </c:strCache>
            </c:strRef>
          </c:cat>
          <c:val>
            <c:numRef>
              <c:f>'RT Travel Adjacent Regions'!$AV$115:$AV$118</c:f>
              <c:numCache>
                <c:formatCode>#,##0</c:formatCode>
                <c:ptCount val="4"/>
                <c:pt idx="0">
                  <c:v>-208</c:v>
                </c:pt>
                <c:pt idx="1">
                  <c:v>-304</c:v>
                </c:pt>
                <c:pt idx="2">
                  <c:v>-164</c:v>
                </c:pt>
                <c:pt idx="3">
                  <c:v>228</c:v>
                </c:pt>
              </c:numCache>
            </c:numRef>
          </c:val>
          <c:extLst>
            <c:ext xmlns:c16="http://schemas.microsoft.com/office/drawing/2014/chart" uri="{C3380CC4-5D6E-409C-BE32-E72D297353CC}">
              <c16:uniqueId val="{00000004-8C99-3445-9124-91DD959F5CEC}"/>
            </c:ext>
          </c:extLst>
        </c:ser>
        <c:dLbls>
          <c:showLegendKey val="0"/>
          <c:showVal val="0"/>
          <c:showCatName val="0"/>
          <c:showSerName val="0"/>
          <c:showPercent val="0"/>
          <c:showBubbleSize val="0"/>
        </c:dLbls>
        <c:gapWidth val="48"/>
        <c:overlap val="-1"/>
        <c:axId val="2045395568"/>
        <c:axId val="2040966880"/>
      </c:barChart>
      <c:catAx>
        <c:axId val="20453955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2040966880"/>
        <c:crosses val="autoZero"/>
        <c:auto val="1"/>
        <c:lblAlgn val="ctr"/>
        <c:lblOffset val="100"/>
        <c:noMultiLvlLbl val="0"/>
      </c:catAx>
      <c:valAx>
        <c:axId val="2040966880"/>
        <c:scaling>
          <c:orientation val="minMax"/>
          <c:max val="1250"/>
          <c:min val="-32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low"/>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2045395568"/>
        <c:crosses val="autoZero"/>
        <c:crossBetween val="between"/>
      </c:valAx>
      <c:spPr>
        <a:noFill/>
        <a:ln>
          <a:noFill/>
        </a:ln>
        <a:effectLst/>
      </c:spPr>
    </c:plotArea>
    <c:legend>
      <c:legendPos val="b"/>
      <c:layout>
        <c:manualLayout>
          <c:xMode val="edge"/>
          <c:yMode val="edge"/>
          <c:x val="0"/>
          <c:y val="3.9449735127225959E-2"/>
          <c:w val="0.92311352214907816"/>
          <c:h val="0.28406253324280056"/>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06178478268713E-2"/>
          <c:y val="3.8623595505617975E-2"/>
          <c:w val="0.96579382152173132"/>
          <c:h val="0.91942159583613403"/>
        </c:manualLayout>
      </c:layout>
      <c:barChart>
        <c:barDir val="col"/>
        <c:grouping val="clustered"/>
        <c:varyColors val="0"/>
        <c:ser>
          <c:idx val="0"/>
          <c:order val="0"/>
          <c:tx>
            <c:strRef>
              <c:f>'RT Travel Adjacent Regions'!$AR$125</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Regions'!$AQ$126:$AQ$130</c:f>
              <c:strCache>
                <c:ptCount val="5"/>
                <c:pt idx="0">
                  <c:v>Fresno-Anaheim/                                         294miles</c:v>
                </c:pt>
                <c:pt idx="1">
                  <c:v>Madera-Anaheim/                                             311miles</c:v>
                </c:pt>
                <c:pt idx="2">
                  <c:v>Bakersfield-San Francisco/                                                306miles</c:v>
                </c:pt>
                <c:pt idx="3">
                  <c:v>Madera-Burbank/                                                   276miles</c:v>
                </c:pt>
                <c:pt idx="4">
                  <c:v>Merced-OC Gateway/                                      340miles</c:v>
                </c:pt>
              </c:strCache>
            </c:strRef>
          </c:cat>
          <c:val>
            <c:numRef>
              <c:f>'RT Travel Adjacent Regions'!$AR$126:$AR$130</c:f>
              <c:numCache>
                <c:formatCode>"$"#,##0</c:formatCode>
                <c:ptCount val="5"/>
                <c:pt idx="0">
                  <c:v>113.62</c:v>
                </c:pt>
                <c:pt idx="1">
                  <c:v>127.42</c:v>
                </c:pt>
                <c:pt idx="2">
                  <c:v>129.72</c:v>
                </c:pt>
                <c:pt idx="3">
                  <c:v>108.56</c:v>
                </c:pt>
                <c:pt idx="4">
                  <c:v>132.94</c:v>
                </c:pt>
              </c:numCache>
            </c:numRef>
          </c:val>
          <c:extLst>
            <c:ext xmlns:c16="http://schemas.microsoft.com/office/drawing/2014/chart" uri="{C3380CC4-5D6E-409C-BE32-E72D297353CC}">
              <c16:uniqueId val="{00000000-A024-9D4D-92B0-11C7BFAD9ADE}"/>
            </c:ext>
          </c:extLst>
        </c:ser>
        <c:ser>
          <c:idx val="1"/>
          <c:order val="1"/>
          <c:tx>
            <c:strRef>
              <c:f>'RT Travel Adjacent Regions'!$AS$125</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Regions'!$AQ$126:$AQ$130</c:f>
              <c:strCache>
                <c:ptCount val="5"/>
                <c:pt idx="0">
                  <c:v>Fresno-Anaheim/                                         294miles</c:v>
                </c:pt>
                <c:pt idx="1">
                  <c:v>Madera-Anaheim/                                             311miles</c:v>
                </c:pt>
                <c:pt idx="2">
                  <c:v>Bakersfield-San Francisco/                                                306miles</c:v>
                </c:pt>
                <c:pt idx="3">
                  <c:v>Madera-Burbank/                                                   276miles</c:v>
                </c:pt>
                <c:pt idx="4">
                  <c:v>Merced-OC Gateway/                                      340miles</c:v>
                </c:pt>
              </c:strCache>
            </c:strRef>
          </c:cat>
          <c:val>
            <c:numRef>
              <c:f>'RT Travel Adjacent Regions'!$AS$126:$AS$130</c:f>
              <c:numCache>
                <c:formatCode>"$"#,##0</c:formatCode>
                <c:ptCount val="5"/>
                <c:pt idx="0">
                  <c:v>184.5</c:v>
                </c:pt>
                <c:pt idx="1">
                  <c:v>194.5</c:v>
                </c:pt>
                <c:pt idx="2">
                  <c:v>209</c:v>
                </c:pt>
                <c:pt idx="3">
                  <c:v>177</c:v>
                </c:pt>
                <c:pt idx="4">
                  <c:v>192</c:v>
                </c:pt>
              </c:numCache>
            </c:numRef>
          </c:val>
          <c:extLst>
            <c:ext xmlns:c16="http://schemas.microsoft.com/office/drawing/2014/chart" uri="{C3380CC4-5D6E-409C-BE32-E72D297353CC}">
              <c16:uniqueId val="{00000001-A024-9D4D-92B0-11C7BFAD9ADE}"/>
            </c:ext>
          </c:extLst>
        </c:ser>
        <c:ser>
          <c:idx val="2"/>
          <c:order val="2"/>
          <c:tx>
            <c:strRef>
              <c:f>'RT Travel Adjacent Regions'!$AT$125</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Regions'!$AQ$126:$AQ$130</c:f>
              <c:strCache>
                <c:ptCount val="5"/>
                <c:pt idx="0">
                  <c:v>Fresno-Anaheim/                                         294miles</c:v>
                </c:pt>
                <c:pt idx="1">
                  <c:v>Madera-Anaheim/                                             311miles</c:v>
                </c:pt>
                <c:pt idx="2">
                  <c:v>Bakersfield-San Francisco/                                                306miles</c:v>
                </c:pt>
                <c:pt idx="3">
                  <c:v>Madera-Burbank/                                                   276miles</c:v>
                </c:pt>
                <c:pt idx="4">
                  <c:v>Merced-OC Gateway/                                      340miles</c:v>
                </c:pt>
              </c:strCache>
            </c:strRef>
          </c:cat>
          <c:val>
            <c:numRef>
              <c:f>'RT Travel Adjacent Regions'!$AT$126:$AT$130</c:f>
              <c:numCache>
                <c:formatCode>"$"#,##0</c:formatCode>
                <c:ptCount val="5"/>
                <c:pt idx="0">
                  <c:v>411</c:v>
                </c:pt>
                <c:pt idx="1">
                  <c:v>411</c:v>
                </c:pt>
                <c:pt idx="2">
                  <c:v>314</c:v>
                </c:pt>
                <c:pt idx="3">
                  <c:v>411</c:v>
                </c:pt>
                <c:pt idx="4">
                  <c:v>426</c:v>
                </c:pt>
              </c:numCache>
            </c:numRef>
          </c:val>
          <c:extLst>
            <c:ext xmlns:c16="http://schemas.microsoft.com/office/drawing/2014/chart" uri="{C3380CC4-5D6E-409C-BE32-E72D297353CC}">
              <c16:uniqueId val="{00000002-A024-9D4D-92B0-11C7BFAD9ADE}"/>
            </c:ext>
          </c:extLst>
        </c:ser>
        <c:ser>
          <c:idx val="3"/>
          <c:order val="3"/>
          <c:tx>
            <c:strRef>
              <c:f>'RT Travel Adjacent Regions'!$AU$125</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Regions'!$AQ$126:$AQ$130</c:f>
              <c:strCache>
                <c:ptCount val="5"/>
                <c:pt idx="0">
                  <c:v>Fresno-Anaheim/                                         294miles</c:v>
                </c:pt>
                <c:pt idx="1">
                  <c:v>Madera-Anaheim/                                             311miles</c:v>
                </c:pt>
                <c:pt idx="2">
                  <c:v>Bakersfield-San Francisco/                                                306miles</c:v>
                </c:pt>
                <c:pt idx="3">
                  <c:v>Madera-Burbank/                                                   276miles</c:v>
                </c:pt>
                <c:pt idx="4">
                  <c:v>Merced-OC Gateway/                                      340miles</c:v>
                </c:pt>
              </c:strCache>
            </c:strRef>
          </c:cat>
          <c:val>
            <c:numRef>
              <c:f>'RT Travel Adjacent Regions'!$AU$126:$AU$130</c:f>
              <c:numCache>
                <c:formatCode>0</c:formatCode>
                <c:ptCount val="5"/>
                <c:pt idx="0">
                  <c:v>183.80000000000007</c:v>
                </c:pt>
                <c:pt idx="1">
                  <c:v>137.80000000000007</c:v>
                </c:pt>
                <c:pt idx="2">
                  <c:v>-46.299999999999955</c:v>
                </c:pt>
                <c:pt idx="3">
                  <c:v>101.20000000000005</c:v>
                </c:pt>
                <c:pt idx="4">
                  <c:v>269.40000000000009</c:v>
                </c:pt>
              </c:numCache>
            </c:numRef>
          </c:val>
          <c:extLst>
            <c:ext xmlns:c16="http://schemas.microsoft.com/office/drawing/2014/chart" uri="{C3380CC4-5D6E-409C-BE32-E72D297353CC}">
              <c16:uniqueId val="{00000003-A024-9D4D-92B0-11C7BFAD9ADE}"/>
            </c:ext>
          </c:extLst>
        </c:ser>
        <c:ser>
          <c:idx val="4"/>
          <c:order val="4"/>
          <c:tx>
            <c:strRef>
              <c:f>'RT Travel Adjacent Regions'!$AV$125</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Regions'!$AQ$126:$AQ$130</c:f>
              <c:strCache>
                <c:ptCount val="5"/>
                <c:pt idx="0">
                  <c:v>Fresno-Anaheim/                                         294miles</c:v>
                </c:pt>
                <c:pt idx="1">
                  <c:v>Madera-Anaheim/                                             311miles</c:v>
                </c:pt>
                <c:pt idx="2">
                  <c:v>Bakersfield-San Francisco/                                                306miles</c:v>
                </c:pt>
                <c:pt idx="3">
                  <c:v>Madera-Burbank/                                                   276miles</c:v>
                </c:pt>
                <c:pt idx="4">
                  <c:v>Merced-OC Gateway/                                      340miles</c:v>
                </c:pt>
              </c:strCache>
            </c:strRef>
          </c:cat>
          <c:val>
            <c:numRef>
              <c:f>'RT Travel Adjacent Regions'!$AV$126:$AV$130</c:f>
              <c:numCache>
                <c:formatCode>#,##0</c:formatCode>
                <c:ptCount val="5"/>
                <c:pt idx="0">
                  <c:v>-23</c:v>
                </c:pt>
                <c:pt idx="1">
                  <c:v>388</c:v>
                </c:pt>
                <c:pt idx="2">
                  <c:v>116</c:v>
                </c:pt>
                <c:pt idx="3">
                  <c:v>218</c:v>
                </c:pt>
                <c:pt idx="4">
                  <c:v>492</c:v>
                </c:pt>
              </c:numCache>
            </c:numRef>
          </c:val>
          <c:extLst>
            <c:ext xmlns:c16="http://schemas.microsoft.com/office/drawing/2014/chart" uri="{C3380CC4-5D6E-409C-BE32-E72D297353CC}">
              <c16:uniqueId val="{00000004-A024-9D4D-92B0-11C7BFAD9ADE}"/>
            </c:ext>
          </c:extLst>
        </c:ser>
        <c:dLbls>
          <c:showLegendKey val="0"/>
          <c:showVal val="0"/>
          <c:showCatName val="0"/>
          <c:showSerName val="0"/>
          <c:showPercent val="0"/>
          <c:showBubbleSize val="0"/>
        </c:dLbls>
        <c:gapWidth val="51"/>
        <c:overlap val="1"/>
        <c:axId val="2043736112"/>
        <c:axId val="2025066864"/>
      </c:barChart>
      <c:catAx>
        <c:axId val="2043736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2025066864"/>
        <c:crosses val="autoZero"/>
        <c:auto val="1"/>
        <c:lblAlgn val="ctr"/>
        <c:lblOffset val="100"/>
        <c:noMultiLvlLbl val="0"/>
      </c:catAx>
      <c:valAx>
        <c:axId val="2025066864"/>
        <c:scaling>
          <c:orientation val="minMax"/>
          <c:max val="580"/>
          <c:min val="-6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2043736112"/>
        <c:crosses val="autoZero"/>
        <c:crossBetween val="between"/>
        <c:majorUnit val="80"/>
      </c:valAx>
      <c:spPr>
        <a:noFill/>
        <a:ln>
          <a:noFill/>
        </a:ln>
        <a:effectLst/>
      </c:spPr>
    </c:plotArea>
    <c:legend>
      <c:legendPos val="b"/>
      <c:layout>
        <c:manualLayout>
          <c:xMode val="edge"/>
          <c:yMode val="edge"/>
          <c:x val="1.0796888259692388E-2"/>
          <c:y val="5.2747479717764841E-2"/>
          <c:w val="0.8194260517824008"/>
          <c:h val="0.19580614659824824"/>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310689126288036E-2"/>
          <c:y val="4.0892193308550186E-2"/>
          <c:w val="0.96368931087371201"/>
          <c:h val="0.88490706319702606"/>
        </c:manualLayout>
      </c:layout>
      <c:barChart>
        <c:barDir val="col"/>
        <c:grouping val="clustered"/>
        <c:varyColors val="0"/>
        <c:ser>
          <c:idx val="0"/>
          <c:order val="0"/>
          <c:tx>
            <c:strRef>
              <c:f>'RT Travel Adjacent Regions'!$AR$160</c:f>
              <c:strCache>
                <c:ptCount val="1"/>
                <c:pt idx="0">
                  <c:v>SV-CV Period: Cost of Driving Alone Round-Trip @ 23¢/mile, the Authority's metric for fully-loaded auto costs</c:v>
                </c:pt>
              </c:strCache>
            </c:strRef>
          </c:tx>
          <c:spPr>
            <a:pattFill prst="pct5">
              <a:fgClr>
                <a:schemeClr val="accent1">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Regions'!$AQ$161:$AQ$164</c:f>
              <c:strCache>
                <c:ptCount val="4"/>
                <c:pt idx="0">
                  <c:v>San Diego-OC Gateway/                                106miles</c:v>
                </c:pt>
                <c:pt idx="1">
                  <c:v>San Diego-Anaheim/                                   107miles</c:v>
                </c:pt>
                <c:pt idx="2">
                  <c:v>San Diego-LA/                                          120miles</c:v>
                </c:pt>
                <c:pt idx="3">
                  <c:v>San Diego-BUR/                                                 126miles</c:v>
                </c:pt>
              </c:strCache>
            </c:strRef>
          </c:cat>
          <c:val>
            <c:numRef>
              <c:f>'RT Travel Adjacent Regions'!$AR$161:$AR$164</c:f>
              <c:numCache>
                <c:formatCode>"$"#,##0</c:formatCode>
                <c:ptCount val="4"/>
                <c:pt idx="0">
                  <c:v>24.380000000000003</c:v>
                </c:pt>
                <c:pt idx="1">
                  <c:v>49.22</c:v>
                </c:pt>
                <c:pt idx="2">
                  <c:v>55.2</c:v>
                </c:pt>
                <c:pt idx="3">
                  <c:v>61.64</c:v>
                </c:pt>
              </c:numCache>
            </c:numRef>
          </c:val>
          <c:extLst>
            <c:ext xmlns:c16="http://schemas.microsoft.com/office/drawing/2014/chart" uri="{C3380CC4-5D6E-409C-BE32-E72D297353CC}">
              <c16:uniqueId val="{00000000-0FCF-6044-BFFA-5BBDE8CB3A52}"/>
            </c:ext>
          </c:extLst>
        </c:ser>
        <c:ser>
          <c:idx val="1"/>
          <c:order val="1"/>
          <c:tx>
            <c:strRef>
              <c:f>'RT Travel Adjacent Regions'!$AS$160</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Regions'!$AQ$161:$AQ$164</c:f>
              <c:strCache>
                <c:ptCount val="4"/>
                <c:pt idx="0">
                  <c:v>San Diego-OC Gateway/                                106miles</c:v>
                </c:pt>
                <c:pt idx="1">
                  <c:v>San Diego-Anaheim/                                   107miles</c:v>
                </c:pt>
                <c:pt idx="2">
                  <c:v>San Diego-LA/                                          120miles</c:v>
                </c:pt>
                <c:pt idx="3">
                  <c:v>San Diego-BUR/                                                 126miles</c:v>
                </c:pt>
              </c:strCache>
            </c:strRef>
          </c:cat>
          <c:val>
            <c:numRef>
              <c:f>'RT Travel Adjacent Regions'!$AS$161:$AS$164</c:f>
              <c:numCache>
                <c:formatCode>"$"#,##0</c:formatCode>
                <c:ptCount val="4"/>
                <c:pt idx="0">
                  <c:v>94.3</c:v>
                </c:pt>
                <c:pt idx="1">
                  <c:v>83.9</c:v>
                </c:pt>
                <c:pt idx="2">
                  <c:v>98.6</c:v>
                </c:pt>
                <c:pt idx="3">
                  <c:v>110.6</c:v>
                </c:pt>
              </c:numCache>
            </c:numRef>
          </c:val>
          <c:extLst>
            <c:ext xmlns:c16="http://schemas.microsoft.com/office/drawing/2014/chart" uri="{C3380CC4-5D6E-409C-BE32-E72D297353CC}">
              <c16:uniqueId val="{00000001-0FCF-6044-BFFA-5BBDE8CB3A52}"/>
            </c:ext>
          </c:extLst>
        </c:ser>
        <c:ser>
          <c:idx val="2"/>
          <c:order val="2"/>
          <c:tx>
            <c:strRef>
              <c:f>'RT Travel Adjacent Regions'!$AT$160</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Regions'!$AQ$161:$AQ$164</c:f>
              <c:strCache>
                <c:ptCount val="4"/>
                <c:pt idx="0">
                  <c:v>San Diego-OC Gateway/                                106miles</c:v>
                </c:pt>
                <c:pt idx="1">
                  <c:v>San Diego-Anaheim/                                   107miles</c:v>
                </c:pt>
                <c:pt idx="2">
                  <c:v>San Diego-LA/                                          120miles</c:v>
                </c:pt>
                <c:pt idx="3">
                  <c:v>San Diego-BUR/                                                 126miles</c:v>
                </c:pt>
              </c:strCache>
            </c:strRef>
          </c:cat>
          <c:val>
            <c:numRef>
              <c:f>'RT Travel Adjacent Regions'!$AT$161:$AT$164</c:f>
              <c:numCache>
                <c:formatCode>"$"#,##0</c:formatCode>
                <c:ptCount val="4"/>
                <c:pt idx="0">
                  <c:v>313</c:v>
                </c:pt>
                <c:pt idx="1">
                  <c:v>313</c:v>
                </c:pt>
                <c:pt idx="2">
                  <c:v>298</c:v>
                </c:pt>
                <c:pt idx="3">
                  <c:v>331</c:v>
                </c:pt>
              </c:numCache>
            </c:numRef>
          </c:val>
          <c:extLst>
            <c:ext xmlns:c16="http://schemas.microsoft.com/office/drawing/2014/chart" uri="{C3380CC4-5D6E-409C-BE32-E72D297353CC}">
              <c16:uniqueId val="{00000002-0FCF-6044-BFFA-5BBDE8CB3A52}"/>
            </c:ext>
          </c:extLst>
        </c:ser>
        <c:ser>
          <c:idx val="3"/>
          <c:order val="3"/>
          <c:tx>
            <c:strRef>
              <c:f>'RT Travel Adjacent Regions'!$AU$160</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Regions'!$AQ$161:$AQ$164</c:f>
              <c:strCache>
                <c:ptCount val="4"/>
                <c:pt idx="0">
                  <c:v>San Diego-OC Gateway/                                106miles</c:v>
                </c:pt>
                <c:pt idx="1">
                  <c:v>San Diego-Anaheim/                                   107miles</c:v>
                </c:pt>
                <c:pt idx="2">
                  <c:v>San Diego-LA/                                          120miles</c:v>
                </c:pt>
                <c:pt idx="3">
                  <c:v>San Diego-BUR/                                                 126miles</c:v>
                </c:pt>
              </c:strCache>
            </c:strRef>
          </c:cat>
          <c:val>
            <c:numRef>
              <c:f>'RT Travel Adjacent Regions'!$AU$161:$AU$164</c:f>
              <c:numCache>
                <c:formatCode>0</c:formatCode>
                <c:ptCount val="4"/>
                <c:pt idx="0">
                  <c:v>341.70000000000005</c:v>
                </c:pt>
                <c:pt idx="1">
                  <c:v>127.5</c:v>
                </c:pt>
                <c:pt idx="2">
                  <c:v>194.5</c:v>
                </c:pt>
                <c:pt idx="3">
                  <c:v>260.5</c:v>
                </c:pt>
              </c:numCache>
            </c:numRef>
          </c:val>
          <c:extLst>
            <c:ext xmlns:c16="http://schemas.microsoft.com/office/drawing/2014/chart" uri="{C3380CC4-5D6E-409C-BE32-E72D297353CC}">
              <c16:uniqueId val="{00000003-0FCF-6044-BFFA-5BBDE8CB3A52}"/>
            </c:ext>
          </c:extLst>
        </c:ser>
        <c:ser>
          <c:idx val="4"/>
          <c:order val="4"/>
          <c:tx>
            <c:strRef>
              <c:f>'RT Travel Adjacent Regions'!$AV$160</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Regions'!$AQ$161:$AQ$164</c:f>
              <c:strCache>
                <c:ptCount val="4"/>
                <c:pt idx="0">
                  <c:v>San Diego-OC Gateway/                                106miles</c:v>
                </c:pt>
                <c:pt idx="1">
                  <c:v>San Diego-Anaheim/                                   107miles</c:v>
                </c:pt>
                <c:pt idx="2">
                  <c:v>San Diego-LA/                                          120miles</c:v>
                </c:pt>
                <c:pt idx="3">
                  <c:v>San Diego-BUR/                                                 126miles</c:v>
                </c:pt>
              </c:strCache>
            </c:strRef>
          </c:cat>
          <c:val>
            <c:numRef>
              <c:f>'RT Travel Adjacent Regions'!$AV$161:$AV$164</c:f>
              <c:numCache>
                <c:formatCode>#,##0</c:formatCode>
                <c:ptCount val="4"/>
                <c:pt idx="0">
                  <c:v>144</c:v>
                </c:pt>
                <c:pt idx="1">
                  <c:v>54</c:v>
                </c:pt>
                <c:pt idx="2">
                  <c:v>144</c:v>
                </c:pt>
                <c:pt idx="3">
                  <c:v>-164</c:v>
                </c:pt>
              </c:numCache>
            </c:numRef>
          </c:val>
          <c:extLst>
            <c:ext xmlns:c16="http://schemas.microsoft.com/office/drawing/2014/chart" uri="{C3380CC4-5D6E-409C-BE32-E72D297353CC}">
              <c16:uniqueId val="{00000004-0FCF-6044-BFFA-5BBDE8CB3A52}"/>
            </c:ext>
          </c:extLst>
        </c:ser>
        <c:dLbls>
          <c:showLegendKey val="0"/>
          <c:showVal val="0"/>
          <c:showCatName val="0"/>
          <c:showSerName val="0"/>
          <c:showPercent val="0"/>
          <c:showBubbleSize val="0"/>
        </c:dLbls>
        <c:gapWidth val="50"/>
        <c:axId val="1542759360"/>
        <c:axId val="1501124672"/>
      </c:barChart>
      <c:catAx>
        <c:axId val="1542759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501124672"/>
        <c:crosses val="autoZero"/>
        <c:auto val="1"/>
        <c:lblAlgn val="ctr"/>
        <c:lblOffset val="100"/>
        <c:noMultiLvlLbl val="0"/>
      </c:catAx>
      <c:valAx>
        <c:axId val="1501124672"/>
        <c:scaling>
          <c:orientation val="minMax"/>
          <c:max val="400"/>
          <c:min val="-175"/>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542759360"/>
        <c:crosses val="autoZero"/>
        <c:crossBetween val="between"/>
      </c:valAx>
      <c:spPr>
        <a:noFill/>
        <a:ln>
          <a:noFill/>
        </a:ln>
        <a:effectLst/>
      </c:spPr>
    </c:plotArea>
    <c:legend>
      <c:legendPos val="b"/>
      <c:layout>
        <c:manualLayout>
          <c:xMode val="edge"/>
          <c:yMode val="edge"/>
          <c:x val="4.8776194411882177E-4"/>
          <c:y val="0.66993639140303196"/>
          <c:w val="0.87268519086710472"/>
          <c:h val="0.24073851828001053"/>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751236242914996E-2"/>
          <c:y val="9.5016222169716311E-3"/>
          <c:w val="0.96824876375708502"/>
          <c:h val="0.97229153201821439"/>
        </c:manualLayout>
      </c:layout>
      <c:barChart>
        <c:barDir val="col"/>
        <c:grouping val="clustered"/>
        <c:varyColors val="0"/>
        <c:ser>
          <c:idx val="0"/>
          <c:order val="0"/>
          <c:tx>
            <c:strRef>
              <c:f>'RT Travel Adjacent Regions'!$AR$31</c:f>
              <c:strCache>
                <c:ptCount val="1"/>
                <c:pt idx="0">
                  <c:v>SV-CV Period: Cost of Driving Alone Round-Trip @ 23¢/mile, the Authority's metric for fully-loaded auto costs</c:v>
                </c:pt>
              </c:strCache>
            </c:strRef>
          </c:tx>
          <c:spPr>
            <a:pattFill prst="pct5">
              <a:fgClr>
                <a:schemeClr val="accent1">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Regions'!$AQ$32:$AQ$36</c:f>
              <c:strCache>
                <c:ptCount val="5"/>
                <c:pt idx="0">
                  <c:v>Burbank (BUR)-Turlock/                                       342miles</c:v>
                </c:pt>
                <c:pt idx="1">
                  <c:v>Los Angeles-Merced/                                          348miles</c:v>
                </c:pt>
                <c:pt idx="2">
                  <c:v>Anaheim-Modesto/                                           391miles</c:v>
                </c:pt>
                <c:pt idx="3">
                  <c:v>Los Angeles-Stockton/                                              392miles</c:v>
                </c:pt>
                <c:pt idx="4">
                  <c:v>OC Gateway-Elk Grove/                                               444miles</c:v>
                </c:pt>
              </c:strCache>
            </c:strRef>
          </c:cat>
          <c:val>
            <c:numRef>
              <c:f>'RT Travel Adjacent Regions'!$AR$32:$AR$36</c:f>
              <c:numCache>
                <c:formatCode>"$"#,##0</c:formatCode>
                <c:ptCount val="5"/>
                <c:pt idx="0">
                  <c:v>132.48000000000002</c:v>
                </c:pt>
                <c:pt idx="1">
                  <c:v>126.5</c:v>
                </c:pt>
                <c:pt idx="2">
                  <c:v>164.68</c:v>
                </c:pt>
                <c:pt idx="3">
                  <c:v>155.94</c:v>
                </c:pt>
                <c:pt idx="4">
                  <c:v>182.62</c:v>
                </c:pt>
              </c:numCache>
            </c:numRef>
          </c:val>
          <c:extLst>
            <c:ext xmlns:c16="http://schemas.microsoft.com/office/drawing/2014/chart" uri="{C3380CC4-5D6E-409C-BE32-E72D297353CC}">
              <c16:uniqueId val="{00000000-1706-1744-8D63-7B3CA763E37D}"/>
            </c:ext>
          </c:extLst>
        </c:ser>
        <c:ser>
          <c:idx val="1"/>
          <c:order val="1"/>
          <c:tx>
            <c:strRef>
              <c:f>'RT Travel Adjacent Regions'!$AS$31</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Regions'!$AQ$32:$AQ$36</c:f>
              <c:strCache>
                <c:ptCount val="5"/>
                <c:pt idx="0">
                  <c:v>Burbank (BUR)-Turlock/                                       342miles</c:v>
                </c:pt>
                <c:pt idx="1">
                  <c:v>Los Angeles-Merced/                                          348miles</c:v>
                </c:pt>
                <c:pt idx="2">
                  <c:v>Anaheim-Modesto/                                           391miles</c:v>
                </c:pt>
                <c:pt idx="3">
                  <c:v>Los Angeles-Stockton/                                              392miles</c:v>
                </c:pt>
                <c:pt idx="4">
                  <c:v>OC Gateway-Elk Grove/                                               444miles</c:v>
                </c:pt>
              </c:strCache>
            </c:strRef>
          </c:cat>
          <c:val>
            <c:numRef>
              <c:f>'RT Travel Adjacent Regions'!$AS$32:$AS$36</c:f>
              <c:numCache>
                <c:formatCode>"$"#,##0</c:formatCode>
                <c:ptCount val="5"/>
                <c:pt idx="0">
                  <c:v>179</c:v>
                </c:pt>
                <c:pt idx="1">
                  <c:v>179</c:v>
                </c:pt>
                <c:pt idx="2">
                  <c:v>196.5</c:v>
                </c:pt>
                <c:pt idx="3">
                  <c:v>179</c:v>
                </c:pt>
                <c:pt idx="4">
                  <c:v>192</c:v>
                </c:pt>
              </c:numCache>
            </c:numRef>
          </c:val>
          <c:extLst>
            <c:ext xmlns:c16="http://schemas.microsoft.com/office/drawing/2014/chart" uri="{C3380CC4-5D6E-409C-BE32-E72D297353CC}">
              <c16:uniqueId val="{00000001-1706-1744-8D63-7B3CA763E37D}"/>
            </c:ext>
          </c:extLst>
        </c:ser>
        <c:ser>
          <c:idx val="2"/>
          <c:order val="2"/>
          <c:tx>
            <c:strRef>
              <c:f>'RT Travel Adjacent Regions'!$AT$31</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Regions'!$AQ$32:$AQ$36</c:f>
              <c:strCache>
                <c:ptCount val="5"/>
                <c:pt idx="0">
                  <c:v>Burbank (BUR)-Turlock/                                       342miles</c:v>
                </c:pt>
                <c:pt idx="1">
                  <c:v>Los Angeles-Merced/                                          348miles</c:v>
                </c:pt>
                <c:pt idx="2">
                  <c:v>Anaheim-Modesto/                                           391miles</c:v>
                </c:pt>
                <c:pt idx="3">
                  <c:v>Los Angeles-Stockton/                                              392miles</c:v>
                </c:pt>
                <c:pt idx="4">
                  <c:v>OC Gateway-Elk Grove/                                               444miles</c:v>
                </c:pt>
              </c:strCache>
            </c:strRef>
          </c:cat>
          <c:val>
            <c:numRef>
              <c:f>'RT Travel Adjacent Regions'!$AT$32:$AT$36</c:f>
              <c:numCache>
                <c:formatCode>"$"#,##0</c:formatCode>
                <c:ptCount val="5"/>
                <c:pt idx="0">
                  <c:v>234</c:v>
                </c:pt>
                <c:pt idx="1">
                  <c:v>411</c:v>
                </c:pt>
                <c:pt idx="2">
                  <c:v>223</c:v>
                </c:pt>
                <c:pt idx="3">
                  <c:v>192</c:v>
                </c:pt>
                <c:pt idx="4">
                  <c:v>207</c:v>
                </c:pt>
              </c:numCache>
            </c:numRef>
          </c:val>
          <c:extLst>
            <c:ext xmlns:c16="http://schemas.microsoft.com/office/drawing/2014/chart" uri="{C3380CC4-5D6E-409C-BE32-E72D297353CC}">
              <c16:uniqueId val="{00000002-1706-1744-8D63-7B3CA763E37D}"/>
            </c:ext>
          </c:extLst>
        </c:ser>
        <c:ser>
          <c:idx val="3"/>
          <c:order val="3"/>
          <c:tx>
            <c:strRef>
              <c:f>'RT Travel Adjacent Regions'!$AU$31</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Regions'!$AQ$32:$AQ$36</c:f>
              <c:strCache>
                <c:ptCount val="5"/>
                <c:pt idx="0">
                  <c:v>Burbank (BUR)-Turlock/                                       342miles</c:v>
                </c:pt>
                <c:pt idx="1">
                  <c:v>Los Angeles-Merced/                                          348miles</c:v>
                </c:pt>
                <c:pt idx="2">
                  <c:v>Anaheim-Modesto/                                           391miles</c:v>
                </c:pt>
                <c:pt idx="3">
                  <c:v>Los Angeles-Stockton/                                              392miles</c:v>
                </c:pt>
                <c:pt idx="4">
                  <c:v>OC Gateway-Elk Grove/                                               444miles</c:v>
                </c:pt>
              </c:strCache>
            </c:strRef>
          </c:cat>
          <c:val>
            <c:numRef>
              <c:f>'RT Travel Adjacent Regions'!$AU$32:$AU$36</c:f>
              <c:numCache>
                <c:formatCode>#,##0</c:formatCode>
                <c:ptCount val="5"/>
                <c:pt idx="0">
                  <c:v>183.90000000000009</c:v>
                </c:pt>
                <c:pt idx="1">
                  <c:v>225.80000000000007</c:v>
                </c:pt>
                <c:pt idx="2">
                  <c:v>137.30000000000007</c:v>
                </c:pt>
                <c:pt idx="3">
                  <c:v>409.20000000000005</c:v>
                </c:pt>
                <c:pt idx="4">
                  <c:v>405.6</c:v>
                </c:pt>
              </c:numCache>
            </c:numRef>
          </c:val>
          <c:extLst>
            <c:ext xmlns:c16="http://schemas.microsoft.com/office/drawing/2014/chart" uri="{C3380CC4-5D6E-409C-BE32-E72D297353CC}">
              <c16:uniqueId val="{00000003-1706-1744-8D63-7B3CA763E37D}"/>
            </c:ext>
          </c:extLst>
        </c:ser>
        <c:ser>
          <c:idx val="4"/>
          <c:order val="4"/>
          <c:tx>
            <c:strRef>
              <c:f>'RT Travel Adjacent Regions'!$AV$31</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Regions'!$AQ$32:$AQ$36</c:f>
              <c:strCache>
                <c:ptCount val="5"/>
                <c:pt idx="0">
                  <c:v>Burbank (BUR)-Turlock/                                       342miles</c:v>
                </c:pt>
                <c:pt idx="1">
                  <c:v>Los Angeles-Merced/                                          348miles</c:v>
                </c:pt>
                <c:pt idx="2">
                  <c:v>Anaheim-Modesto/                                           391miles</c:v>
                </c:pt>
                <c:pt idx="3">
                  <c:v>Los Angeles-Stockton/                                              392miles</c:v>
                </c:pt>
                <c:pt idx="4">
                  <c:v>OC Gateway-Elk Grove/                                               444miles</c:v>
                </c:pt>
              </c:strCache>
            </c:strRef>
          </c:cat>
          <c:val>
            <c:numRef>
              <c:f>'RT Travel Adjacent Regions'!$AV$32:$AV$36</c:f>
              <c:numCache>
                <c:formatCode>#,##0</c:formatCode>
                <c:ptCount val="5"/>
                <c:pt idx="0">
                  <c:v>40</c:v>
                </c:pt>
                <c:pt idx="1">
                  <c:v>384</c:v>
                </c:pt>
                <c:pt idx="2">
                  <c:v>608</c:v>
                </c:pt>
                <c:pt idx="3">
                  <c:v>620</c:v>
                </c:pt>
                <c:pt idx="4">
                  <c:v>828</c:v>
                </c:pt>
              </c:numCache>
            </c:numRef>
          </c:val>
          <c:extLst>
            <c:ext xmlns:c16="http://schemas.microsoft.com/office/drawing/2014/chart" uri="{C3380CC4-5D6E-409C-BE32-E72D297353CC}">
              <c16:uniqueId val="{00000004-1706-1744-8D63-7B3CA763E37D}"/>
            </c:ext>
          </c:extLst>
        </c:ser>
        <c:ser>
          <c:idx val="5"/>
          <c:order val="5"/>
          <c:spPr>
            <a:solidFill>
              <a:schemeClr val="accent6"/>
            </a:solidFill>
            <a:ln>
              <a:noFill/>
            </a:ln>
            <a:effectLst/>
          </c:spPr>
          <c:invertIfNegative val="0"/>
          <c:cat>
            <c:strRef>
              <c:f>'RT Travel Adjacent Regions'!$AQ$32:$AQ$36</c:f>
              <c:strCache>
                <c:ptCount val="5"/>
                <c:pt idx="0">
                  <c:v>Burbank (BUR)-Turlock/                                       342miles</c:v>
                </c:pt>
                <c:pt idx="1">
                  <c:v>Los Angeles-Merced/                                          348miles</c:v>
                </c:pt>
                <c:pt idx="2">
                  <c:v>Anaheim-Modesto/                                           391miles</c:v>
                </c:pt>
                <c:pt idx="3">
                  <c:v>Los Angeles-Stockton/                                              392miles</c:v>
                </c:pt>
                <c:pt idx="4">
                  <c:v>OC Gateway-Elk Grove/                                               444miles</c:v>
                </c:pt>
              </c:strCache>
            </c:strRef>
          </c:cat>
          <c:val>
            <c:numRef>
              <c:f>'RT Travel Adjacent Regions'!$C$31</c:f>
              <c:numCache>
                <c:formatCode>General</c:formatCode>
                <c:ptCount val="1"/>
                <c:pt idx="0">
                  <c:v>0</c:v>
                </c:pt>
              </c:numCache>
            </c:numRef>
          </c:val>
          <c:extLst>
            <c:ext xmlns:c16="http://schemas.microsoft.com/office/drawing/2014/chart" uri="{C3380CC4-5D6E-409C-BE32-E72D297353CC}">
              <c16:uniqueId val="{00000006-1706-1744-8D63-7B3CA763E37D}"/>
            </c:ext>
          </c:extLst>
        </c:ser>
        <c:dLbls>
          <c:showLegendKey val="0"/>
          <c:showVal val="0"/>
          <c:showCatName val="0"/>
          <c:showSerName val="0"/>
          <c:showPercent val="0"/>
          <c:showBubbleSize val="0"/>
        </c:dLbls>
        <c:gapWidth val="50"/>
        <c:axId val="1332455440"/>
        <c:axId val="1332492064"/>
      </c:barChart>
      <c:catAx>
        <c:axId val="133245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332492064"/>
        <c:crosses val="autoZero"/>
        <c:auto val="1"/>
        <c:lblAlgn val="ctr"/>
        <c:lblOffset val="100"/>
        <c:noMultiLvlLbl val="0"/>
      </c:catAx>
      <c:valAx>
        <c:axId val="1332492064"/>
        <c:scaling>
          <c:orientation val="minMax"/>
          <c:max val="9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332455440"/>
        <c:crosses val="autoZero"/>
        <c:crossBetween val="between"/>
      </c:valAx>
      <c:spPr>
        <a:noFill/>
        <a:ln>
          <a:noFill/>
        </a:ln>
        <a:effectLst/>
      </c:spPr>
    </c:plotArea>
    <c:legend>
      <c:legendPos val="b"/>
      <c:legendEntry>
        <c:idx val="5"/>
        <c:delete val="1"/>
      </c:legendEntry>
      <c:layout>
        <c:manualLayout>
          <c:xMode val="edge"/>
          <c:yMode val="edge"/>
          <c:x val="7.8016261476107672E-5"/>
          <c:y val="4.7194608116692981E-2"/>
          <c:w val="0.7657873507075138"/>
          <c:h val="0.22446965091962853"/>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236220472440943E-2"/>
          <c:y val="3.6303630363036306E-2"/>
          <c:w val="0.9677637795275591"/>
          <c:h val="0.89782178217821784"/>
        </c:manualLayout>
      </c:layout>
      <c:barChart>
        <c:barDir val="col"/>
        <c:grouping val="clustered"/>
        <c:varyColors val="0"/>
        <c:ser>
          <c:idx val="0"/>
          <c:order val="0"/>
          <c:tx>
            <c:strRef>
              <c:f>'RT Travel Adjacent Regions'!$AR$65</c:f>
              <c:strCache>
                <c:ptCount val="1"/>
                <c:pt idx="0">
                  <c:v>SV-CV Period: Cost of Driving Alone Round-Trip @ 23¢/mile, the Authority's metric for fully-loaded auto costs</c:v>
                </c:pt>
              </c:strCache>
            </c:strRef>
          </c:tx>
          <c:spPr>
            <a:pattFill prst="pct5">
              <a:fgClr>
                <a:schemeClr val="accent1">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Regions'!$AQ$66:$AQ$70</c:f>
              <c:strCache>
                <c:ptCount val="5"/>
                <c:pt idx="0">
                  <c:v>San Francisco-Merced/                                      202miles</c:v>
                </c:pt>
                <c:pt idx="1">
                  <c:v>San Francisco-Turlock/                                        230miles</c:v>
                </c:pt>
                <c:pt idx="2">
                  <c:v>San Jose-Stockton/                                         239miles</c:v>
                </c:pt>
                <c:pt idx="3">
                  <c:v>San Jose-Elk Grove/                                          244miles</c:v>
                </c:pt>
                <c:pt idx="4">
                  <c:v>San Francisco-Modesto/                                          245miles</c:v>
                </c:pt>
              </c:strCache>
            </c:strRef>
          </c:cat>
          <c:val>
            <c:numRef>
              <c:f>'RT Travel Adjacent Regions'!$AR$66:$AR$70</c:f>
              <c:numCache>
                <c:formatCode>"$"#,##0</c:formatCode>
                <c:ptCount val="5"/>
                <c:pt idx="0">
                  <c:v>59.800000000000004</c:v>
                </c:pt>
                <c:pt idx="1">
                  <c:v>48.300000000000004</c:v>
                </c:pt>
                <c:pt idx="2">
                  <c:v>37.260000000000005</c:v>
                </c:pt>
                <c:pt idx="3">
                  <c:v>53.36</c:v>
                </c:pt>
                <c:pt idx="4">
                  <c:v>42.78</c:v>
                </c:pt>
              </c:numCache>
            </c:numRef>
          </c:val>
          <c:extLst>
            <c:ext xmlns:c16="http://schemas.microsoft.com/office/drawing/2014/chart" uri="{C3380CC4-5D6E-409C-BE32-E72D297353CC}">
              <c16:uniqueId val="{00000000-730E-B345-B538-F387A35B5EEC}"/>
            </c:ext>
          </c:extLst>
        </c:ser>
        <c:ser>
          <c:idx val="1"/>
          <c:order val="1"/>
          <c:tx>
            <c:strRef>
              <c:f>'RT Travel Adjacent Regions'!$AS$65</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Regions'!$AQ$66:$AQ$70</c:f>
              <c:strCache>
                <c:ptCount val="5"/>
                <c:pt idx="0">
                  <c:v>San Francisco-Merced/                                      202miles</c:v>
                </c:pt>
                <c:pt idx="1">
                  <c:v>San Francisco-Turlock/                                        230miles</c:v>
                </c:pt>
                <c:pt idx="2">
                  <c:v>San Jose-Stockton/                                         239miles</c:v>
                </c:pt>
                <c:pt idx="3">
                  <c:v>San Jose-Elk Grove/                                          244miles</c:v>
                </c:pt>
                <c:pt idx="4">
                  <c:v>San Francisco-Modesto/                                          245miles</c:v>
                </c:pt>
              </c:strCache>
            </c:strRef>
          </c:cat>
          <c:val>
            <c:numRef>
              <c:f>'RT Travel Adjacent Regions'!$AS$66:$AS$70</c:f>
              <c:numCache>
                <c:formatCode>"$"#,##0</c:formatCode>
                <c:ptCount val="5"/>
                <c:pt idx="0">
                  <c:v>165</c:v>
                </c:pt>
                <c:pt idx="1">
                  <c:v>165</c:v>
                </c:pt>
                <c:pt idx="2">
                  <c:v>149</c:v>
                </c:pt>
                <c:pt idx="3">
                  <c:v>149</c:v>
                </c:pt>
                <c:pt idx="4">
                  <c:v>165</c:v>
                </c:pt>
              </c:numCache>
            </c:numRef>
          </c:val>
          <c:extLst>
            <c:ext xmlns:c16="http://schemas.microsoft.com/office/drawing/2014/chart" uri="{C3380CC4-5D6E-409C-BE32-E72D297353CC}">
              <c16:uniqueId val="{00000001-730E-B345-B538-F387A35B5EEC}"/>
            </c:ext>
          </c:extLst>
        </c:ser>
        <c:ser>
          <c:idx val="2"/>
          <c:order val="2"/>
          <c:tx>
            <c:strRef>
              <c:f>'RT Travel Adjacent Regions'!$AT$65</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Regions'!$AQ$66:$AQ$70</c:f>
              <c:strCache>
                <c:ptCount val="5"/>
                <c:pt idx="0">
                  <c:v>San Francisco-Merced/                                      202miles</c:v>
                </c:pt>
                <c:pt idx="1">
                  <c:v>San Francisco-Turlock/                                        230miles</c:v>
                </c:pt>
                <c:pt idx="2">
                  <c:v>San Jose-Stockton/                                         239miles</c:v>
                </c:pt>
                <c:pt idx="3">
                  <c:v>San Jose-Elk Grove/                                          244miles</c:v>
                </c:pt>
                <c:pt idx="4">
                  <c:v>San Francisco-Modesto/                                          245miles</c:v>
                </c:pt>
              </c:strCache>
            </c:strRef>
          </c:cat>
          <c:val>
            <c:numRef>
              <c:f>'RT Travel Adjacent Regions'!$AT$66:$AT$70</c:f>
              <c:numCache>
                <c:formatCode>"$"#,##0</c:formatCode>
                <c:ptCount val="5"/>
                <c:pt idx="0">
                  <c:v>561</c:v>
                </c:pt>
                <c:pt idx="1">
                  <c:v>243</c:v>
                </c:pt>
                <c:pt idx="2">
                  <c:v>346</c:v>
                </c:pt>
                <c:pt idx="3">
                  <c:v>346</c:v>
                </c:pt>
                <c:pt idx="4">
                  <c:v>243</c:v>
                </c:pt>
              </c:numCache>
            </c:numRef>
          </c:val>
          <c:extLst>
            <c:ext xmlns:c16="http://schemas.microsoft.com/office/drawing/2014/chart" uri="{C3380CC4-5D6E-409C-BE32-E72D297353CC}">
              <c16:uniqueId val="{00000002-730E-B345-B538-F387A35B5EEC}"/>
            </c:ext>
          </c:extLst>
        </c:ser>
        <c:ser>
          <c:idx val="3"/>
          <c:order val="3"/>
          <c:tx>
            <c:strRef>
              <c:f>'RT Travel Adjacent Regions'!$AU$65</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Regions'!$AQ$66:$AQ$70</c:f>
              <c:strCache>
                <c:ptCount val="5"/>
                <c:pt idx="0">
                  <c:v>San Francisco-Merced/                                      202miles</c:v>
                </c:pt>
                <c:pt idx="1">
                  <c:v>San Francisco-Turlock/                                        230miles</c:v>
                </c:pt>
                <c:pt idx="2">
                  <c:v>San Jose-Stockton/                                         239miles</c:v>
                </c:pt>
                <c:pt idx="3">
                  <c:v>San Jose-Elk Grove/                                          244miles</c:v>
                </c:pt>
                <c:pt idx="4">
                  <c:v>San Francisco-Modesto/                                          245miles</c:v>
                </c:pt>
              </c:strCache>
            </c:strRef>
          </c:cat>
          <c:val>
            <c:numRef>
              <c:f>'RT Travel Adjacent Regions'!$AU$66:$AU$70</c:f>
              <c:numCache>
                <c:formatCode>0</c:formatCode>
                <c:ptCount val="5"/>
                <c:pt idx="0">
                  <c:v>111</c:v>
                </c:pt>
                <c:pt idx="1">
                  <c:v>242.40000000000003</c:v>
                </c:pt>
                <c:pt idx="2">
                  <c:v>431.8</c:v>
                </c:pt>
                <c:pt idx="3">
                  <c:v>467.40000000000003</c:v>
                </c:pt>
                <c:pt idx="4">
                  <c:v>323.90000000000003</c:v>
                </c:pt>
              </c:numCache>
            </c:numRef>
          </c:val>
          <c:extLst>
            <c:ext xmlns:c16="http://schemas.microsoft.com/office/drawing/2014/chart" uri="{C3380CC4-5D6E-409C-BE32-E72D297353CC}">
              <c16:uniqueId val="{00000003-730E-B345-B538-F387A35B5EEC}"/>
            </c:ext>
          </c:extLst>
        </c:ser>
        <c:ser>
          <c:idx val="4"/>
          <c:order val="4"/>
          <c:tx>
            <c:strRef>
              <c:f>'RT Travel Adjacent Regions'!$AV$65</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Regions'!$AQ$66:$AQ$70</c:f>
              <c:strCache>
                <c:ptCount val="5"/>
                <c:pt idx="0">
                  <c:v>San Francisco-Merced/                                      202miles</c:v>
                </c:pt>
                <c:pt idx="1">
                  <c:v>San Francisco-Turlock/                                        230miles</c:v>
                </c:pt>
                <c:pt idx="2">
                  <c:v>San Jose-Stockton/                                         239miles</c:v>
                </c:pt>
                <c:pt idx="3">
                  <c:v>San Jose-Elk Grove/                                          244miles</c:v>
                </c:pt>
                <c:pt idx="4">
                  <c:v>San Francisco-Modesto/                                          245miles</c:v>
                </c:pt>
              </c:strCache>
            </c:strRef>
          </c:cat>
          <c:val>
            <c:numRef>
              <c:f>'RT Travel Adjacent Regions'!$AV$66:$AV$70</c:f>
              <c:numCache>
                <c:formatCode>#,##0</c:formatCode>
                <c:ptCount val="5"/>
                <c:pt idx="0">
                  <c:v>104</c:v>
                </c:pt>
                <c:pt idx="1">
                  <c:v>208</c:v>
                </c:pt>
                <c:pt idx="2">
                  <c:v>-184</c:v>
                </c:pt>
                <c:pt idx="3">
                  <c:v>-84</c:v>
                </c:pt>
                <c:pt idx="4">
                  <c:v>278</c:v>
                </c:pt>
              </c:numCache>
            </c:numRef>
          </c:val>
          <c:extLst>
            <c:ext xmlns:c16="http://schemas.microsoft.com/office/drawing/2014/chart" uri="{C3380CC4-5D6E-409C-BE32-E72D297353CC}">
              <c16:uniqueId val="{00000004-730E-B345-B538-F387A35B5EEC}"/>
            </c:ext>
          </c:extLst>
        </c:ser>
        <c:dLbls>
          <c:showLegendKey val="0"/>
          <c:showVal val="0"/>
          <c:showCatName val="0"/>
          <c:showSerName val="0"/>
          <c:showPercent val="0"/>
          <c:showBubbleSize val="0"/>
        </c:dLbls>
        <c:gapWidth val="50"/>
        <c:axId val="1125510832"/>
        <c:axId val="1127914288"/>
      </c:barChart>
      <c:catAx>
        <c:axId val="112551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solidFill>
                <a:latin typeface="+mn-lt"/>
                <a:ea typeface="+mn-ea"/>
                <a:cs typeface="+mn-cs"/>
              </a:defRPr>
            </a:pPr>
            <a:endParaRPr lang="en-US"/>
          </a:p>
        </c:txPr>
        <c:crossAx val="1127914288"/>
        <c:crosses val="autoZero"/>
        <c:auto val="1"/>
        <c:lblAlgn val="ctr"/>
        <c:lblOffset val="100"/>
        <c:noMultiLvlLbl val="0"/>
      </c:catAx>
      <c:valAx>
        <c:axId val="1127914288"/>
        <c:scaling>
          <c:orientation val="minMax"/>
          <c:max val="800"/>
          <c:min val="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125510832"/>
        <c:crosses val="autoZero"/>
        <c:crossBetween val="between"/>
      </c:valAx>
      <c:spPr>
        <a:noFill/>
        <a:ln>
          <a:noFill/>
        </a:ln>
        <a:effectLst/>
      </c:spPr>
    </c:plotArea>
    <c:legend>
      <c:legendPos val="b"/>
      <c:layout>
        <c:manualLayout>
          <c:xMode val="edge"/>
          <c:yMode val="edge"/>
          <c:x val="0"/>
          <c:y val="8.9832883353011053E-2"/>
          <c:w val="0.77857165393231109"/>
          <c:h val="0.21372495517268261"/>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34251968503935E-2"/>
          <c:y val="5.0925925925925923E-2"/>
          <c:w val="0.9442657480314961"/>
          <c:h val="0.93494203849518809"/>
        </c:manualLayout>
      </c:layout>
      <c:barChart>
        <c:barDir val="col"/>
        <c:grouping val="clustered"/>
        <c:varyColors val="0"/>
        <c:ser>
          <c:idx val="0"/>
          <c:order val="0"/>
          <c:tx>
            <c:strRef>
              <c:f>'RT Travel Adjacent Regions'!$AR$137</c:f>
              <c:strCache>
                <c:ptCount val="1"/>
                <c:pt idx="0">
                  <c:v>SV-CV Period: Cost of Driving Alone Round-Trip @ 23¢/mile, the Authority's metric for fully-loaded auto costs</c:v>
                </c:pt>
              </c:strCache>
            </c:strRef>
          </c:tx>
          <c:spPr>
            <a:pattFill prst="pct5">
              <a:fgClr>
                <a:schemeClr val="accent1">
                  <a:lumMod val="60000"/>
                  <a:lumOff val="40000"/>
                </a:schemeClr>
              </a:fgClr>
              <a:bgClr>
                <a:srgbClr val="000090"/>
              </a:bgClr>
            </a:pattFill>
            <a:ln>
              <a:noFill/>
            </a:ln>
            <a:effectLst/>
          </c:spPr>
          <c:invertIfNegative val="0"/>
          <c:dLbls>
            <c:dLbl>
              <c:idx val="1"/>
              <c:layout>
                <c:manualLayout>
                  <c:x val="-4.0126741703771201E-17"/>
                  <c:y val="4.3750584920057442E-2"/>
                </c:manualLayout>
              </c:layout>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F5-B140-9E08-7B268705A0A5}"/>
                </c:ext>
              </c:extLst>
            </c:dLbl>
            <c:dLbl>
              <c:idx val="2"/>
              <c:layout>
                <c:manualLayout>
                  <c:x val="0"/>
                  <c:y val="4.3750584920057442E-2"/>
                </c:manualLayout>
              </c:layout>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F5-B140-9E08-7B268705A0A5}"/>
                </c:ext>
              </c:extLst>
            </c:dLbl>
            <c:dLbl>
              <c:idx val="3"/>
              <c:layout>
                <c:manualLayout>
                  <c:x val="0"/>
                  <c:y val="4.3750584920057574E-2"/>
                </c:manualLayout>
              </c:layout>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F5-B140-9E08-7B268705A0A5}"/>
                </c:ext>
              </c:extLst>
            </c:dLbl>
            <c:dLbl>
              <c:idx val="4"/>
              <c:layout>
                <c:manualLayout>
                  <c:x val="0"/>
                  <c:y val="4.7396466996728906E-2"/>
                </c:manualLayout>
              </c:layout>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F5-B140-9E08-7B268705A0A5}"/>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009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Regions'!$AQ$138:$AQ$142</c:f>
              <c:strCache>
                <c:ptCount val="5"/>
                <c:pt idx="0">
                  <c:v>Sacramento-Stockton/                           49miles</c:v>
                </c:pt>
                <c:pt idx="1">
                  <c:v>Sacramento-Merced/                           118miles</c:v>
                </c:pt>
                <c:pt idx="2">
                  <c:v>Sacramento-Madera/                     148miles</c:v>
                </c:pt>
                <c:pt idx="3">
                  <c:v>Sacramento-Fresno/                                  173 miles</c:v>
                </c:pt>
                <c:pt idx="4">
                  <c:v>Sacramento-Gilroy/                              244miles</c:v>
                </c:pt>
              </c:strCache>
            </c:strRef>
          </c:cat>
          <c:val>
            <c:numRef>
              <c:f>'RT Travel Adjacent Regions'!$AR$138:$AR$142</c:f>
              <c:numCache>
                <c:formatCode>"$"#,##0</c:formatCode>
                <c:ptCount val="5"/>
                <c:pt idx="0">
                  <c:v>22.540000000000003</c:v>
                </c:pt>
                <c:pt idx="1">
                  <c:v>52.900000000000006</c:v>
                </c:pt>
                <c:pt idx="2">
                  <c:v>68.08</c:v>
                </c:pt>
                <c:pt idx="3">
                  <c:v>79.58</c:v>
                </c:pt>
                <c:pt idx="4">
                  <c:v>70.84</c:v>
                </c:pt>
              </c:numCache>
            </c:numRef>
          </c:val>
          <c:extLst>
            <c:ext xmlns:c16="http://schemas.microsoft.com/office/drawing/2014/chart" uri="{C3380CC4-5D6E-409C-BE32-E72D297353CC}">
              <c16:uniqueId val="{00000000-4FE9-8440-B72A-6F08D8D3B627}"/>
            </c:ext>
          </c:extLst>
        </c:ser>
        <c:ser>
          <c:idx val="1"/>
          <c:order val="1"/>
          <c:tx>
            <c:strRef>
              <c:f>'RT Travel Adjacent Regions'!$AS$137</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Regions'!$AQ$138:$AQ$142</c:f>
              <c:strCache>
                <c:ptCount val="5"/>
                <c:pt idx="0">
                  <c:v>Sacramento-Stockton/                           49miles</c:v>
                </c:pt>
                <c:pt idx="1">
                  <c:v>Sacramento-Merced/                           118miles</c:v>
                </c:pt>
                <c:pt idx="2">
                  <c:v>Sacramento-Madera/                     148miles</c:v>
                </c:pt>
                <c:pt idx="3">
                  <c:v>Sacramento-Fresno/                                  173 miles</c:v>
                </c:pt>
                <c:pt idx="4">
                  <c:v>Sacramento-Gilroy/                              244miles</c:v>
                </c:pt>
              </c:strCache>
            </c:strRef>
          </c:cat>
          <c:val>
            <c:numRef>
              <c:f>'RT Travel Adjacent Regions'!$AS$138:$AS$142</c:f>
              <c:numCache>
                <c:formatCode>"$"#,##0</c:formatCode>
                <c:ptCount val="5"/>
                <c:pt idx="0">
                  <c:v>43</c:v>
                </c:pt>
                <c:pt idx="1">
                  <c:v>43</c:v>
                </c:pt>
                <c:pt idx="2">
                  <c:v>43</c:v>
                </c:pt>
                <c:pt idx="3">
                  <c:v>123</c:v>
                </c:pt>
                <c:pt idx="4">
                  <c:v>159</c:v>
                </c:pt>
              </c:numCache>
            </c:numRef>
          </c:val>
          <c:extLst>
            <c:ext xmlns:c16="http://schemas.microsoft.com/office/drawing/2014/chart" uri="{C3380CC4-5D6E-409C-BE32-E72D297353CC}">
              <c16:uniqueId val="{00000001-4FE9-8440-B72A-6F08D8D3B627}"/>
            </c:ext>
          </c:extLst>
        </c:ser>
        <c:ser>
          <c:idx val="2"/>
          <c:order val="2"/>
          <c:tx>
            <c:strRef>
              <c:f>'RT Travel Adjacent Regions'!$AT$137</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Regions'!$AQ$138:$AQ$142</c:f>
              <c:strCache>
                <c:ptCount val="5"/>
                <c:pt idx="0">
                  <c:v>Sacramento-Stockton/                           49miles</c:v>
                </c:pt>
                <c:pt idx="1">
                  <c:v>Sacramento-Merced/                           118miles</c:v>
                </c:pt>
                <c:pt idx="2">
                  <c:v>Sacramento-Madera/                     148miles</c:v>
                </c:pt>
                <c:pt idx="3">
                  <c:v>Sacramento-Fresno/                                  173 miles</c:v>
                </c:pt>
                <c:pt idx="4">
                  <c:v>Sacramento-Gilroy/                              244miles</c:v>
                </c:pt>
              </c:strCache>
            </c:strRef>
          </c:cat>
          <c:val>
            <c:numRef>
              <c:f>'RT Travel Adjacent Regions'!$AT$138:$AT$142</c:f>
              <c:numCache>
                <c:formatCode>"$"#,##0</c:formatCode>
                <c:ptCount val="5"/>
                <c:pt idx="0">
                  <c:v>1887</c:v>
                </c:pt>
                <c:pt idx="1">
                  <c:v>676</c:v>
                </c:pt>
                <c:pt idx="2">
                  <c:v>676</c:v>
                </c:pt>
                <c:pt idx="3">
                  <c:v>661</c:v>
                </c:pt>
                <c:pt idx="4">
                  <c:v>346</c:v>
                </c:pt>
              </c:numCache>
            </c:numRef>
          </c:val>
          <c:extLst>
            <c:ext xmlns:c16="http://schemas.microsoft.com/office/drawing/2014/chart" uri="{C3380CC4-5D6E-409C-BE32-E72D297353CC}">
              <c16:uniqueId val="{00000002-4FE9-8440-B72A-6F08D8D3B627}"/>
            </c:ext>
          </c:extLst>
        </c:ser>
        <c:ser>
          <c:idx val="3"/>
          <c:order val="3"/>
          <c:tx>
            <c:strRef>
              <c:f>'RT Travel Adjacent Regions'!$AU$137</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Regions'!$AQ$138:$AQ$142</c:f>
              <c:strCache>
                <c:ptCount val="5"/>
                <c:pt idx="0">
                  <c:v>Sacramento-Stockton/                           49miles</c:v>
                </c:pt>
                <c:pt idx="1">
                  <c:v>Sacramento-Merced/                           118miles</c:v>
                </c:pt>
                <c:pt idx="2">
                  <c:v>Sacramento-Madera/                     148miles</c:v>
                </c:pt>
                <c:pt idx="3">
                  <c:v>Sacramento-Fresno/                                  173 miles</c:v>
                </c:pt>
                <c:pt idx="4">
                  <c:v>Sacramento-Gilroy/                              244miles</c:v>
                </c:pt>
              </c:strCache>
            </c:strRef>
          </c:cat>
          <c:val>
            <c:numRef>
              <c:f>'RT Travel Adjacent Regions'!$AU$138:$AU$142</c:f>
              <c:numCache>
                <c:formatCode>0</c:formatCode>
                <c:ptCount val="5"/>
                <c:pt idx="0">
                  <c:v>160.80000000000001</c:v>
                </c:pt>
                <c:pt idx="1">
                  <c:v>298.20000000000005</c:v>
                </c:pt>
                <c:pt idx="2">
                  <c:v>318.40000000000003</c:v>
                </c:pt>
                <c:pt idx="3">
                  <c:v>113.80000000000007</c:v>
                </c:pt>
                <c:pt idx="4">
                  <c:v>382.5</c:v>
                </c:pt>
              </c:numCache>
            </c:numRef>
          </c:val>
          <c:extLst>
            <c:ext xmlns:c16="http://schemas.microsoft.com/office/drawing/2014/chart" uri="{C3380CC4-5D6E-409C-BE32-E72D297353CC}">
              <c16:uniqueId val="{00000003-4FE9-8440-B72A-6F08D8D3B627}"/>
            </c:ext>
          </c:extLst>
        </c:ser>
        <c:ser>
          <c:idx val="4"/>
          <c:order val="4"/>
          <c:tx>
            <c:strRef>
              <c:f>'RT Travel Adjacent Regions'!$AV$137</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Regions'!$AQ$138:$AQ$142</c:f>
              <c:strCache>
                <c:ptCount val="5"/>
                <c:pt idx="0">
                  <c:v>Sacramento-Stockton/                           49miles</c:v>
                </c:pt>
                <c:pt idx="1">
                  <c:v>Sacramento-Merced/                           118miles</c:v>
                </c:pt>
                <c:pt idx="2">
                  <c:v>Sacramento-Madera/                     148miles</c:v>
                </c:pt>
                <c:pt idx="3">
                  <c:v>Sacramento-Fresno/                                  173 miles</c:v>
                </c:pt>
                <c:pt idx="4">
                  <c:v>Sacramento-Gilroy/                              244miles</c:v>
                </c:pt>
              </c:strCache>
            </c:strRef>
          </c:cat>
          <c:val>
            <c:numRef>
              <c:f>'RT Travel Adjacent Regions'!$AV$138:$AV$142</c:f>
              <c:numCache>
                <c:formatCode>#,##0</c:formatCode>
                <c:ptCount val="5"/>
                <c:pt idx="0">
                  <c:v>2</c:v>
                </c:pt>
                <c:pt idx="1">
                  <c:v>-130</c:v>
                </c:pt>
                <c:pt idx="2">
                  <c:v>-50</c:v>
                </c:pt>
                <c:pt idx="3">
                  <c:v>26</c:v>
                </c:pt>
                <c:pt idx="4">
                  <c:v>-116</c:v>
                </c:pt>
              </c:numCache>
            </c:numRef>
          </c:val>
          <c:extLst>
            <c:ext xmlns:c16="http://schemas.microsoft.com/office/drawing/2014/chart" uri="{C3380CC4-5D6E-409C-BE32-E72D297353CC}">
              <c16:uniqueId val="{00000004-4FE9-8440-B72A-6F08D8D3B627}"/>
            </c:ext>
          </c:extLst>
        </c:ser>
        <c:dLbls>
          <c:showLegendKey val="0"/>
          <c:showVal val="0"/>
          <c:showCatName val="0"/>
          <c:showSerName val="0"/>
          <c:showPercent val="0"/>
          <c:showBubbleSize val="0"/>
        </c:dLbls>
        <c:gapWidth val="50"/>
        <c:axId val="676288032"/>
        <c:axId val="677501888"/>
      </c:barChart>
      <c:catAx>
        <c:axId val="6762880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677501888"/>
        <c:crosses val="autoZero"/>
        <c:auto val="1"/>
        <c:lblAlgn val="ctr"/>
        <c:lblOffset val="100"/>
        <c:noMultiLvlLbl val="0"/>
      </c:catAx>
      <c:valAx>
        <c:axId val="677501888"/>
        <c:scaling>
          <c:orientation val="minMax"/>
          <c:max val="2000"/>
          <c:min val="-13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676288032"/>
        <c:crosses val="autoZero"/>
        <c:crossBetween val="between"/>
      </c:valAx>
      <c:spPr>
        <a:noFill/>
        <a:ln>
          <a:noFill/>
        </a:ln>
        <a:effectLst/>
      </c:spPr>
    </c:plotArea>
    <c:legend>
      <c:legendPos val="b"/>
      <c:layout>
        <c:manualLayout>
          <c:xMode val="edge"/>
          <c:yMode val="edge"/>
          <c:x val="0.16749503350434933"/>
          <c:y val="9.7330697580684522E-2"/>
          <c:w val="0.82242806875315499"/>
          <c:h val="0.36168135470642959"/>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392775415684418E-2"/>
          <c:y val="3.540478798437019E-2"/>
          <c:w val="0.96560722458431558"/>
          <c:h val="0.95477031999136297"/>
        </c:manualLayout>
      </c:layout>
      <c:barChart>
        <c:barDir val="col"/>
        <c:grouping val="clustered"/>
        <c:varyColors val="0"/>
        <c:ser>
          <c:idx val="0"/>
          <c:order val="0"/>
          <c:tx>
            <c:strRef>
              <c:f>'RT Travel Adjacent Regions'!$AR$149</c:f>
              <c:strCache>
                <c:ptCount val="1"/>
                <c:pt idx="0">
                  <c:v>SV-CV Period: Cost of Driving Alone Round-Trip @ 23¢/mile, the Authority's metric for fully-loaded auto costs</c:v>
                </c:pt>
              </c:strCache>
            </c:strRef>
          </c:tx>
          <c:spPr>
            <a:pattFill prst="pct20">
              <a:fgClr>
                <a:schemeClr val="accent1">
                  <a:lumMod val="60000"/>
                  <a:lumOff val="40000"/>
                </a:schemeClr>
              </a:fgClr>
              <a:bgClr>
                <a:srgbClr val="000090"/>
              </a:bgClr>
            </a:pattFill>
            <a:ln>
              <a:noFill/>
            </a:ln>
            <a:effectLst/>
          </c:spPr>
          <c:invertIfNegative val="0"/>
          <c:dLbls>
            <c:dLbl>
              <c:idx val="3"/>
              <c:layout>
                <c:manualLayout>
                  <c:x val="-1.4161752313800257E-16"/>
                  <c:y val="4.42123942608254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42-FC4E-86C7-B8FE93B2CFAB}"/>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Regions'!$AQ$150:$AQ$153</c:f>
              <c:strCache>
                <c:ptCount val="4"/>
                <c:pt idx="0">
                  <c:v>Sacramento-KT Hanford/                                           220 miles</c:v>
                </c:pt>
                <c:pt idx="1">
                  <c:v>Sacramento-San Jose/                                      274miles</c:v>
                </c:pt>
                <c:pt idx="2">
                  <c:v>Sacramento-Bakersfield/                                     280miles</c:v>
                </c:pt>
                <c:pt idx="3">
                  <c:v> Sacramento-San Francisco/                                            314miles</c:v>
                </c:pt>
              </c:strCache>
            </c:strRef>
          </c:cat>
          <c:val>
            <c:numRef>
              <c:f>'RT Travel Adjacent Regions'!$AR$150:$AR$153</c:f>
              <c:numCache>
                <c:formatCode>"$"#,##0</c:formatCode>
                <c:ptCount val="4"/>
                <c:pt idx="0">
                  <c:v>92.92</c:v>
                </c:pt>
                <c:pt idx="1">
                  <c:v>55.2</c:v>
                </c:pt>
                <c:pt idx="2">
                  <c:v>127.88000000000001</c:v>
                </c:pt>
                <c:pt idx="3">
                  <c:v>39.56</c:v>
                </c:pt>
              </c:numCache>
            </c:numRef>
          </c:val>
          <c:extLst>
            <c:ext xmlns:c16="http://schemas.microsoft.com/office/drawing/2014/chart" uri="{C3380CC4-5D6E-409C-BE32-E72D297353CC}">
              <c16:uniqueId val="{00000000-6142-FC4E-86C7-B8FE93B2CFAB}"/>
            </c:ext>
          </c:extLst>
        </c:ser>
        <c:ser>
          <c:idx val="1"/>
          <c:order val="1"/>
          <c:tx>
            <c:strRef>
              <c:f>'RT Travel Adjacent Regions'!$AS$149</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Regions'!$AQ$150:$AQ$153</c:f>
              <c:strCache>
                <c:ptCount val="4"/>
                <c:pt idx="0">
                  <c:v>Sacramento-KT Hanford/                                           220 miles</c:v>
                </c:pt>
                <c:pt idx="1">
                  <c:v>Sacramento-San Jose/                                      274miles</c:v>
                </c:pt>
                <c:pt idx="2">
                  <c:v>Sacramento-Bakersfield/                                     280miles</c:v>
                </c:pt>
                <c:pt idx="3">
                  <c:v> Sacramento-San Francisco/                                            314miles</c:v>
                </c:pt>
              </c:strCache>
            </c:strRef>
          </c:cat>
          <c:val>
            <c:numRef>
              <c:f>'RT Travel Adjacent Regions'!$AS$150:$AS$153</c:f>
              <c:numCache>
                <c:formatCode>"$"#,##0</c:formatCode>
                <c:ptCount val="4"/>
                <c:pt idx="0">
                  <c:v>139</c:v>
                </c:pt>
                <c:pt idx="1">
                  <c:v>167</c:v>
                </c:pt>
                <c:pt idx="2">
                  <c:v>171</c:v>
                </c:pt>
                <c:pt idx="3">
                  <c:v>183</c:v>
                </c:pt>
              </c:numCache>
            </c:numRef>
          </c:val>
          <c:extLst>
            <c:ext xmlns:c16="http://schemas.microsoft.com/office/drawing/2014/chart" uri="{C3380CC4-5D6E-409C-BE32-E72D297353CC}">
              <c16:uniqueId val="{00000001-6142-FC4E-86C7-B8FE93B2CFAB}"/>
            </c:ext>
          </c:extLst>
        </c:ser>
        <c:ser>
          <c:idx val="2"/>
          <c:order val="2"/>
          <c:tx>
            <c:strRef>
              <c:f>'RT Travel Adjacent Regions'!$AT$149</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Regions'!$AQ$150:$AQ$153</c:f>
              <c:strCache>
                <c:ptCount val="4"/>
                <c:pt idx="0">
                  <c:v>Sacramento-KT Hanford/                                           220 miles</c:v>
                </c:pt>
                <c:pt idx="1">
                  <c:v>Sacramento-San Jose/                                      274miles</c:v>
                </c:pt>
                <c:pt idx="2">
                  <c:v>Sacramento-Bakersfield/                                     280miles</c:v>
                </c:pt>
                <c:pt idx="3">
                  <c:v> Sacramento-San Francisco/                                            314miles</c:v>
                </c:pt>
              </c:strCache>
            </c:strRef>
          </c:cat>
          <c:val>
            <c:numRef>
              <c:f>'RT Travel Adjacent Regions'!$AT$150:$AT$153</c:f>
              <c:numCache>
                <c:formatCode>"$"#,##0</c:formatCode>
                <c:ptCount val="4"/>
                <c:pt idx="0">
                  <c:v>676</c:v>
                </c:pt>
                <c:pt idx="1">
                  <c:v>331</c:v>
                </c:pt>
                <c:pt idx="2">
                  <c:v>592</c:v>
                </c:pt>
                <c:pt idx="3">
                  <c:v>212</c:v>
                </c:pt>
              </c:numCache>
            </c:numRef>
          </c:val>
          <c:extLst>
            <c:ext xmlns:c16="http://schemas.microsoft.com/office/drawing/2014/chart" uri="{C3380CC4-5D6E-409C-BE32-E72D297353CC}">
              <c16:uniqueId val="{00000002-6142-FC4E-86C7-B8FE93B2CFAB}"/>
            </c:ext>
          </c:extLst>
        </c:ser>
        <c:ser>
          <c:idx val="3"/>
          <c:order val="3"/>
          <c:tx>
            <c:strRef>
              <c:f>'RT Travel Adjacent Regions'!$AU$149</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Regions'!$AQ$150:$AQ$153</c:f>
              <c:strCache>
                <c:ptCount val="4"/>
                <c:pt idx="0">
                  <c:v>Sacramento-KT Hanford/                                           220 miles</c:v>
                </c:pt>
                <c:pt idx="1">
                  <c:v>Sacramento-San Jose/                                      274miles</c:v>
                </c:pt>
                <c:pt idx="2">
                  <c:v>Sacramento-Bakersfield/                                     280miles</c:v>
                </c:pt>
                <c:pt idx="3">
                  <c:v> Sacramento-San Francisco/                                            314miles</c:v>
                </c:pt>
              </c:strCache>
            </c:strRef>
          </c:cat>
          <c:val>
            <c:numRef>
              <c:f>'RT Travel Adjacent Regions'!$AU$150:$AU$153</c:f>
              <c:numCache>
                <c:formatCode>0</c:formatCode>
                <c:ptCount val="4"/>
                <c:pt idx="0">
                  <c:v>311.90000000000003</c:v>
                </c:pt>
                <c:pt idx="1">
                  <c:v>521.9</c:v>
                </c:pt>
                <c:pt idx="2">
                  <c:v>227.5</c:v>
                </c:pt>
                <c:pt idx="3">
                  <c:v>545.5</c:v>
                </c:pt>
              </c:numCache>
            </c:numRef>
          </c:val>
          <c:extLst>
            <c:ext xmlns:c16="http://schemas.microsoft.com/office/drawing/2014/chart" uri="{C3380CC4-5D6E-409C-BE32-E72D297353CC}">
              <c16:uniqueId val="{00000003-6142-FC4E-86C7-B8FE93B2CFAB}"/>
            </c:ext>
          </c:extLst>
        </c:ser>
        <c:ser>
          <c:idx val="4"/>
          <c:order val="4"/>
          <c:tx>
            <c:strRef>
              <c:f>'RT Travel Adjacent Regions'!$AV$149</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Regions'!$AQ$150:$AQ$153</c:f>
              <c:strCache>
                <c:ptCount val="4"/>
                <c:pt idx="0">
                  <c:v>Sacramento-KT Hanford/                                           220 miles</c:v>
                </c:pt>
                <c:pt idx="1">
                  <c:v>Sacramento-San Jose/                                      274miles</c:v>
                </c:pt>
                <c:pt idx="2">
                  <c:v>Sacramento-Bakersfield/                                     280miles</c:v>
                </c:pt>
                <c:pt idx="3">
                  <c:v> Sacramento-San Francisco/                                            314miles</c:v>
                </c:pt>
              </c:strCache>
            </c:strRef>
          </c:cat>
          <c:val>
            <c:numRef>
              <c:f>'RT Travel Adjacent Regions'!$AV$150:$AV$153</c:f>
              <c:numCache>
                <c:formatCode>#,##0</c:formatCode>
                <c:ptCount val="4"/>
                <c:pt idx="0">
                  <c:v>70</c:v>
                </c:pt>
                <c:pt idx="1">
                  <c:v>-64</c:v>
                </c:pt>
                <c:pt idx="2">
                  <c:v>142</c:v>
                </c:pt>
                <c:pt idx="3">
                  <c:v>518</c:v>
                </c:pt>
              </c:numCache>
            </c:numRef>
          </c:val>
          <c:extLst>
            <c:ext xmlns:c16="http://schemas.microsoft.com/office/drawing/2014/chart" uri="{C3380CC4-5D6E-409C-BE32-E72D297353CC}">
              <c16:uniqueId val="{00000004-6142-FC4E-86C7-B8FE93B2CFAB}"/>
            </c:ext>
          </c:extLst>
        </c:ser>
        <c:dLbls>
          <c:showLegendKey val="0"/>
          <c:showVal val="0"/>
          <c:showCatName val="0"/>
          <c:showSerName val="0"/>
          <c:showPercent val="0"/>
          <c:showBubbleSize val="0"/>
        </c:dLbls>
        <c:gapWidth val="50"/>
        <c:axId val="1867219583"/>
        <c:axId val="1867119839"/>
      </c:barChart>
      <c:catAx>
        <c:axId val="186721958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867119839"/>
        <c:crosses val="autoZero"/>
        <c:auto val="1"/>
        <c:lblAlgn val="ctr"/>
        <c:lblOffset val="100"/>
        <c:noMultiLvlLbl val="0"/>
      </c:catAx>
      <c:valAx>
        <c:axId val="1867119839"/>
        <c:scaling>
          <c:orientation val="minMax"/>
          <c:max val="980"/>
          <c:min val="-8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867219583"/>
        <c:crosses val="autoZero"/>
        <c:crossBetween val="between"/>
      </c:valAx>
      <c:spPr>
        <a:noFill/>
        <a:ln>
          <a:noFill/>
        </a:ln>
        <a:effectLst/>
      </c:spPr>
    </c:plotArea>
    <c:legend>
      <c:legendPos val="b"/>
      <c:layout>
        <c:manualLayout>
          <c:xMode val="edge"/>
          <c:yMode val="edge"/>
          <c:x val="1.6560926219712751E-3"/>
          <c:y val="6.737782053497976E-2"/>
          <c:w val="0.74563566905092704"/>
          <c:h val="0.20843333433017538"/>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pattFill prst="openDmnd">
              <a:fgClr>
                <a:schemeClr val="bg1"/>
              </a:fgClr>
              <a:bgClr>
                <a:srgbClr val="008000"/>
              </a:bgClr>
            </a:pattFill>
          </c:spPr>
          <c:invertIfNegative val="0"/>
          <c:dLbls>
            <c:dLbl>
              <c:idx val="2"/>
              <c:layout>
                <c:manualLayout>
                  <c:x val="4.3308881939343902E-2"/>
                  <c:y val="5.99521078011919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29-A246-AAD9-541A1BC71A20}"/>
                </c:ext>
              </c:extLst>
            </c:dLbl>
            <c:spPr>
              <a:noFill/>
              <a:ln w="25400">
                <a:noFill/>
              </a:ln>
            </c:spPr>
            <c:txPr>
              <a:bodyPr/>
              <a:lstStyle/>
              <a:p>
                <a:pPr>
                  <a:defRPr sz="600" b="1" i="0">
                    <a:solidFill>
                      <a:srgbClr val="008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NonAdjacent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NonAdjacent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NonAdjacent Regions'!#REF!</c15:sqref>
                        </c15:formulaRef>
                      </c:ext>
                    </c:extLst>
                  </c:multiLvlStrRef>
                </c15:cat>
              </c15:filteredCategoryTitle>
            </c:ext>
            <c:ext xmlns:c16="http://schemas.microsoft.com/office/drawing/2014/chart" uri="{C3380CC4-5D6E-409C-BE32-E72D297353CC}">
              <c16:uniqueId val="{00000001-D629-A246-AAD9-541A1BC71A20}"/>
            </c:ext>
          </c:extLst>
        </c:ser>
        <c:ser>
          <c:idx val="1"/>
          <c:order val="1"/>
          <c:spPr>
            <a:pattFill prst="pct20">
              <a:fgClr>
                <a:schemeClr val="tx2">
                  <a:lumMod val="60000"/>
                  <a:lumOff val="40000"/>
                </a:schemeClr>
              </a:fgClr>
              <a:bgClr>
                <a:srgbClr val="000090"/>
              </a:bgClr>
            </a:pattFill>
          </c:spPr>
          <c:invertIfNegative val="0"/>
          <c:dLbls>
            <c:spPr>
              <a:noFill/>
              <a:ln w="25400">
                <a:noFill/>
              </a:ln>
            </c:spPr>
            <c:txPr>
              <a:bodyPr/>
              <a:lstStyle/>
              <a:p>
                <a:pPr>
                  <a:defRPr sz="600" b="1" i="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NonAdjacent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NonAdjacent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NonAdjacent Regions'!#REF!</c15:sqref>
                        </c15:formulaRef>
                      </c:ext>
                    </c:extLst>
                  </c:multiLvlStrRef>
                </c15:cat>
              </c15:filteredCategoryTitle>
            </c:ext>
            <c:ext xmlns:c16="http://schemas.microsoft.com/office/drawing/2014/chart" uri="{C3380CC4-5D6E-409C-BE32-E72D297353CC}">
              <c16:uniqueId val="{00000002-D629-A246-AAD9-541A1BC71A20}"/>
            </c:ext>
          </c:extLst>
        </c:ser>
        <c:ser>
          <c:idx val="2"/>
          <c:order val="2"/>
          <c:spPr>
            <a:pattFill prst="wdDnDiag">
              <a:fgClr>
                <a:srgbClr val="FF0000"/>
              </a:fgClr>
              <a:bgClr>
                <a:schemeClr val="bg1"/>
              </a:bgClr>
            </a:pattFill>
            <a:ln>
              <a:noFill/>
            </a:ln>
          </c:spPr>
          <c:invertIfNegative val="0"/>
          <c:dLbls>
            <c:spPr>
              <a:noFill/>
              <a:ln w="25400">
                <a:noFill/>
              </a:ln>
            </c:spPr>
            <c:txPr>
              <a:bodyPr/>
              <a:lstStyle/>
              <a:p>
                <a:pPr>
                  <a:defRPr sz="600" b="1" i="0">
                    <a:solidFill>
                      <a:srgbClr val="FF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NonAdjacent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NonAdjacent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NonAdjacent Regions'!#REF!</c15:sqref>
                        </c15:formulaRef>
                      </c:ext>
                    </c:extLst>
                  </c:multiLvlStrRef>
                </c15:cat>
              </c15:filteredCategoryTitle>
            </c:ext>
            <c:ext xmlns:c16="http://schemas.microsoft.com/office/drawing/2014/chart" uri="{C3380CC4-5D6E-409C-BE32-E72D297353CC}">
              <c16:uniqueId val="{00000003-D629-A246-AAD9-541A1BC71A20}"/>
            </c:ext>
          </c:extLst>
        </c:ser>
        <c:ser>
          <c:idx val="3"/>
          <c:order val="3"/>
          <c:spPr>
            <a:pattFill prst="pct75">
              <a:fgClr>
                <a:srgbClr val="3366FF"/>
              </a:fgClr>
              <a:bgClr>
                <a:schemeClr val="bg1"/>
              </a:bgClr>
            </a:pattFill>
          </c:spPr>
          <c:invertIfNegative val="0"/>
          <c:dLbls>
            <c:spPr>
              <a:noFill/>
              <a:ln w="25400">
                <a:noFill/>
              </a:ln>
            </c:spPr>
            <c:txPr>
              <a:bodyPr/>
              <a:lstStyle/>
              <a:p>
                <a:pPr>
                  <a:defRPr sz="600" b="1" i="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NonAdjacent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NonAdjacent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NonAdjacent Regions'!#REF!</c15:sqref>
                        </c15:formulaRef>
                      </c:ext>
                    </c:extLst>
                  </c:multiLvlStrRef>
                </c15:cat>
              </c15:filteredCategoryTitle>
            </c:ext>
            <c:ext xmlns:c16="http://schemas.microsoft.com/office/drawing/2014/chart" uri="{C3380CC4-5D6E-409C-BE32-E72D297353CC}">
              <c16:uniqueId val="{00000004-D629-A246-AAD9-541A1BC71A20}"/>
            </c:ext>
          </c:extLst>
        </c:ser>
        <c:ser>
          <c:idx val="4"/>
          <c:order val="4"/>
          <c:spPr>
            <a:pattFill prst="lgCheck">
              <a:fgClr>
                <a:srgbClr val="3366FF"/>
              </a:fgClr>
              <a:bgClr>
                <a:schemeClr val="bg1"/>
              </a:bgClr>
            </a:pattFill>
            <a:ln>
              <a:noFill/>
            </a:ln>
          </c:spPr>
          <c:invertIfNegative val="0"/>
          <c:dLbls>
            <c:spPr>
              <a:noFill/>
              <a:ln w="25400">
                <a:noFill/>
              </a:ln>
            </c:spPr>
            <c:txPr>
              <a:bodyPr/>
              <a:lstStyle/>
              <a:p>
                <a:pPr>
                  <a:defRPr sz="600" b="1" i="0">
                    <a:solidFill>
                      <a:srgbClr val="0000FF"/>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NonAdjacent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NonAdjacent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NonAdjacent Regions'!#REF!</c15:sqref>
                        </c15:formulaRef>
                      </c:ext>
                    </c:extLst>
                  </c:multiLvlStrRef>
                </c15:cat>
              </c15:filteredCategoryTitle>
            </c:ext>
            <c:ext xmlns:c16="http://schemas.microsoft.com/office/drawing/2014/chart" uri="{C3380CC4-5D6E-409C-BE32-E72D297353CC}">
              <c16:uniqueId val="{00000005-D629-A246-AAD9-541A1BC71A20}"/>
            </c:ext>
          </c:extLst>
        </c:ser>
        <c:dLbls>
          <c:showLegendKey val="0"/>
          <c:showVal val="0"/>
          <c:showCatName val="0"/>
          <c:showSerName val="0"/>
          <c:showPercent val="0"/>
          <c:showBubbleSize val="0"/>
        </c:dLbls>
        <c:gapWidth val="30"/>
        <c:axId val="2131051144"/>
        <c:axId val="2131054152"/>
      </c:barChart>
      <c:catAx>
        <c:axId val="2131051144"/>
        <c:scaling>
          <c:orientation val="minMax"/>
        </c:scaling>
        <c:delete val="0"/>
        <c:axPos val="b"/>
        <c:numFmt formatCode="General" sourceLinked="1"/>
        <c:majorTickMark val="out"/>
        <c:minorTickMark val="none"/>
        <c:tickLblPos val="low"/>
        <c:txPr>
          <a:bodyPr/>
          <a:lstStyle/>
          <a:p>
            <a:pPr>
              <a:defRPr sz="600" b="1" i="0"/>
            </a:pPr>
            <a:endParaRPr lang="en-US"/>
          </a:p>
        </c:txPr>
        <c:crossAx val="2131054152"/>
        <c:crosses val="autoZero"/>
        <c:auto val="1"/>
        <c:lblAlgn val="ctr"/>
        <c:lblOffset val="100"/>
        <c:noMultiLvlLbl val="0"/>
      </c:catAx>
      <c:valAx>
        <c:axId val="2131054152"/>
        <c:scaling>
          <c:orientation val="minMax"/>
          <c:max val="800"/>
          <c:min val="0"/>
        </c:scaling>
        <c:delete val="0"/>
        <c:axPos val="l"/>
        <c:majorGridlines>
          <c:spPr>
            <a:ln w="12700" cmpd="sng">
              <a:prstDash val="sysDot"/>
            </a:ln>
          </c:spPr>
        </c:majorGridlines>
        <c:numFmt formatCode="General" sourceLinked="1"/>
        <c:majorTickMark val="out"/>
        <c:minorTickMark val="none"/>
        <c:tickLblPos val="nextTo"/>
        <c:txPr>
          <a:bodyPr/>
          <a:lstStyle/>
          <a:p>
            <a:pPr>
              <a:defRPr sz="600"/>
            </a:pPr>
            <a:endParaRPr lang="en-US"/>
          </a:p>
        </c:txPr>
        <c:crossAx val="2131051144"/>
        <c:crosses val="autoZero"/>
        <c:crossBetween val="between"/>
        <c:minorUnit val="20"/>
      </c:valAx>
      <c:spPr>
        <a:noFill/>
        <a:ln w="25400">
          <a:noFill/>
        </a:ln>
      </c:spPr>
    </c:plotArea>
    <c:legend>
      <c:legendPos val="r"/>
      <c:layout>
        <c:manualLayout>
          <c:xMode val="edge"/>
          <c:yMode val="edge"/>
          <c:x val="0"/>
          <c:y val="2.7457349317495214E-3"/>
          <c:w val="0.8434523048798237"/>
          <c:h val="0.19883097710782499"/>
        </c:manualLayout>
      </c:layout>
      <c:overlay val="1"/>
      <c:spPr>
        <a:noFill/>
      </c:spPr>
      <c:txPr>
        <a:bodyPr/>
        <a:lstStyle/>
        <a:p>
          <a:pPr>
            <a:defRPr sz="600" b="1" i="0"/>
          </a:pPr>
          <a:endParaRPr lang="en-US"/>
        </a:p>
      </c:txPr>
    </c:legend>
    <c:plotVisOnly val="1"/>
    <c:dispBlanksAs val="gap"/>
    <c:showDLblsOverMax val="0"/>
  </c:chart>
  <c:spPr>
    <a:noFill/>
    <a:ln w="9525">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5.7897549817446103E-2"/>
          <c:y val="4.7982551799345699E-2"/>
          <c:w val="0.89461641666300196"/>
          <c:h val="0.83334083239595103"/>
        </c:manualLayout>
      </c:layout>
      <c:barChart>
        <c:barDir val="col"/>
        <c:grouping val="clustered"/>
        <c:varyColors val="0"/>
        <c:ser>
          <c:idx val="0"/>
          <c:order val="0"/>
          <c:tx>
            <c:strRef>
              <c:f>'RT Intra-Regional Travel'!$Q$33:$Q$34</c:f>
              <c:strCache>
                <c:ptCount val="2"/>
                <c:pt idx="0">
                  <c:v>SV-CV Period:  Cost of Driving Alone Round-Trip @ 23¢/mile, the Authority's metric for fully-loaded auto costs</c:v>
                </c:pt>
              </c:strCache>
            </c:strRef>
          </c:tx>
          <c:spPr>
            <a:pattFill prst="pct20">
              <a:fgClr>
                <a:schemeClr val="accent1">
                  <a:lumMod val="60000"/>
                  <a:lumOff val="40000"/>
                </a:schemeClr>
              </a:fgClr>
              <a:bgClr>
                <a:srgbClr val="000090"/>
              </a:bgClr>
            </a:pattFill>
          </c:spPr>
          <c:invertIfNegative val="0"/>
          <c:dLbls>
            <c:dLbl>
              <c:idx val="0"/>
              <c:layout>
                <c:manualLayout>
                  <c:x val="-1.28024591812493E-17"/>
                  <c:y val="5.3559793575421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F5-0A4B-8592-EA0746B9299C}"/>
                </c:ext>
              </c:extLst>
            </c:dLbl>
            <c:dLbl>
              <c:idx val="1"/>
              <c:layout>
                <c:manualLayout>
                  <c:x val="2.7930761448115302E-3"/>
                  <c:y val="6.21657407327900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F5-0A4B-8592-EA0746B9299C}"/>
                </c:ext>
              </c:extLst>
            </c:dLbl>
            <c:dLbl>
              <c:idx val="2"/>
              <c:layout>
                <c:manualLayout>
                  <c:x val="0"/>
                  <c:y val="6.02299024490165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F5-0A4B-8592-EA0746B9299C}"/>
                </c:ext>
              </c:extLst>
            </c:dLbl>
            <c:dLbl>
              <c:idx val="3"/>
              <c:layout>
                <c:manualLayout>
                  <c:x val="-1.01850675264161E-16"/>
                  <c:y val="5.62286163442375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F5-0A4B-8592-EA0746B9299C}"/>
                </c:ext>
              </c:extLst>
            </c:dLbl>
            <c:spPr>
              <a:noFill/>
              <a:ln w="25400">
                <a:noFill/>
              </a:ln>
            </c:spPr>
            <c:txPr>
              <a:bodyPr/>
              <a:lstStyle/>
              <a:p>
                <a:pPr>
                  <a:defRPr sz="600" b="1" i="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Travel'!$P$35:$P$39</c:f>
              <c:strCache>
                <c:ptCount val="5"/>
                <c:pt idx="0">
                  <c:v>San Jose-Gilroy/                 30miles</c:v>
                </c:pt>
                <c:pt idx="1">
                  <c:v>Merced-Madera/                 33miles</c:v>
                </c:pt>
                <c:pt idx="2">
                  <c:v>Madera-Fresno/                  33miles</c:v>
                </c:pt>
                <c:pt idx="3">
                  <c:v>Fresno-KT Hanford/                                             44miles</c:v>
                </c:pt>
                <c:pt idx="4">
                  <c:v>San Francisco-San Jose/                                                        48miles</c:v>
                </c:pt>
              </c:strCache>
            </c:strRef>
          </c:cat>
          <c:val>
            <c:numRef>
              <c:f>'RT Intra-Regional Travel'!$Q$35:$Q$39</c:f>
              <c:numCache>
                <c:formatCode>"$"#,##0</c:formatCode>
                <c:ptCount val="5"/>
                <c:pt idx="0">
                  <c:v>14.72</c:v>
                </c:pt>
                <c:pt idx="1">
                  <c:v>15.180000000000001</c:v>
                </c:pt>
                <c:pt idx="2">
                  <c:v>15.180000000000001</c:v>
                </c:pt>
                <c:pt idx="3">
                  <c:v>15.180000000000001</c:v>
                </c:pt>
                <c:pt idx="4">
                  <c:v>22.080000000000002</c:v>
                </c:pt>
              </c:numCache>
            </c:numRef>
          </c:val>
          <c:extLst>
            <c:ext xmlns:c16="http://schemas.microsoft.com/office/drawing/2014/chart" uri="{C3380CC4-5D6E-409C-BE32-E72D297353CC}">
              <c16:uniqueId val="{00000004-84F5-0A4B-8592-EA0746B9299C}"/>
            </c:ext>
          </c:extLst>
        </c:ser>
        <c:ser>
          <c:idx val="1"/>
          <c:order val="1"/>
          <c:tx>
            <c:strRef>
              <c:f>'RT Intra-Regional Travel'!$R$33:$R$34</c:f>
              <c:strCache>
                <c:ptCount val="2"/>
                <c:pt idx="0">
                  <c:v>SV-CV Period:  Table 2.2 based Round-trip, Origin-to-Destination HSR Fares ($s) and $23 of access+egress costs</c:v>
                </c:pt>
              </c:strCache>
            </c:strRef>
          </c:tx>
          <c:spPr>
            <a:pattFill prst="dkUpDiag">
              <a:fgClr>
                <a:srgbClr val="FF0000"/>
              </a:fgClr>
              <a:bgClr>
                <a:schemeClr val="bg1"/>
              </a:bgClr>
            </a:pattFill>
            <a:ln>
              <a:noFill/>
            </a:ln>
          </c:spPr>
          <c:invertIfNegative val="0"/>
          <c:dLbls>
            <c:spPr>
              <a:noFill/>
              <a:ln w="25400">
                <a:noFill/>
              </a:ln>
            </c:spPr>
            <c:txPr>
              <a:bodyPr/>
              <a:lstStyle/>
              <a:p>
                <a:pPr>
                  <a:defRPr sz="600" b="1" i="0">
                    <a:solidFill>
                      <a:srgbClr val="FF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Travel'!$P$35:$P$39</c:f>
              <c:strCache>
                <c:ptCount val="5"/>
                <c:pt idx="0">
                  <c:v>San Jose-Gilroy/                 30miles</c:v>
                </c:pt>
                <c:pt idx="1">
                  <c:v>Merced-Madera/                 33miles</c:v>
                </c:pt>
                <c:pt idx="2">
                  <c:v>Madera-Fresno/                  33miles</c:v>
                </c:pt>
                <c:pt idx="3">
                  <c:v>Fresno-KT Hanford/                                             44miles</c:v>
                </c:pt>
                <c:pt idx="4">
                  <c:v>San Francisco-San Jose/                                                        48miles</c:v>
                </c:pt>
              </c:strCache>
            </c:strRef>
          </c:cat>
          <c:val>
            <c:numRef>
              <c:f>'RT Intra-Regional Travel'!$R$35:$R$39</c:f>
              <c:numCache>
                <c:formatCode>"$"#,##0</c:formatCode>
                <c:ptCount val="5"/>
                <c:pt idx="0">
                  <c:v>63</c:v>
                </c:pt>
                <c:pt idx="1">
                  <c:v>1</c:v>
                </c:pt>
                <c:pt idx="2">
                  <c:v>103</c:v>
                </c:pt>
                <c:pt idx="3">
                  <c:v>107</c:v>
                </c:pt>
                <c:pt idx="4">
                  <c:v>71</c:v>
                </c:pt>
              </c:numCache>
            </c:numRef>
          </c:val>
          <c:extLst>
            <c:ext xmlns:c16="http://schemas.microsoft.com/office/drawing/2014/chart" uri="{C3380CC4-5D6E-409C-BE32-E72D297353CC}">
              <c16:uniqueId val="{00000005-84F5-0A4B-8592-EA0746B9299C}"/>
            </c:ext>
          </c:extLst>
        </c:ser>
        <c:ser>
          <c:idx val="2"/>
          <c:order val="2"/>
          <c:tx>
            <c:strRef>
              <c:f>'RT Intra-Regional Travel'!$S$33:$S$34</c:f>
              <c:strCache>
                <c:ptCount val="2"/>
                <c:pt idx="0">
                  <c:v>SV-CV Period: Per person fares for intra-regional round-trip by Caltrain, Metrolink or Amtrak (2017 $$s) and $23 of access+egress costs</c:v>
                </c:pt>
              </c:strCache>
            </c:strRef>
          </c:tx>
          <c:spPr>
            <a:pattFill prst="pct70">
              <a:fgClr>
                <a:schemeClr val="accent2"/>
              </a:fgClr>
              <a:bgClr>
                <a:schemeClr val="bg1"/>
              </a:bgClr>
            </a:pattFill>
          </c:spPr>
          <c:invertIfNegative val="0"/>
          <c:dLbls>
            <c:dLbl>
              <c:idx val="0"/>
              <c:layout>
                <c:manualLayout>
                  <c:x val="-2.5462668816040799E-17"/>
                  <c:y val="6.1773741087104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F5-0A4B-8592-EA0746B9299C}"/>
                </c:ext>
              </c:extLst>
            </c:dLbl>
            <c:dLbl>
              <c:idx val="3"/>
              <c:layout>
                <c:manualLayout>
                  <c:x val="0"/>
                  <c:y val="6.699189003868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F5-0A4B-8592-EA0746B9299C}"/>
                </c:ext>
              </c:extLst>
            </c:dLbl>
            <c:spPr>
              <a:noFill/>
              <a:ln w="25400">
                <a:noFill/>
              </a:ln>
            </c:spPr>
            <c:txPr>
              <a:bodyPr/>
              <a:lstStyle/>
              <a:p>
                <a:pPr>
                  <a:defRPr sz="600" b="1" i="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Travel'!$P$35:$P$39</c:f>
              <c:strCache>
                <c:ptCount val="5"/>
                <c:pt idx="0">
                  <c:v>San Jose-Gilroy/                 30miles</c:v>
                </c:pt>
                <c:pt idx="1">
                  <c:v>Merced-Madera/                 33miles</c:v>
                </c:pt>
                <c:pt idx="2">
                  <c:v>Madera-Fresno/                  33miles</c:v>
                </c:pt>
                <c:pt idx="3">
                  <c:v>Fresno-KT Hanford/                                             44miles</c:v>
                </c:pt>
                <c:pt idx="4">
                  <c:v>San Francisco-San Jose/                                                        48miles</c:v>
                </c:pt>
              </c:strCache>
            </c:strRef>
          </c:cat>
          <c:val>
            <c:numRef>
              <c:f>'RT Intra-Regional Travel'!$S$35:$S$39</c:f>
              <c:numCache>
                <c:formatCode>"$"#,##0</c:formatCode>
                <c:ptCount val="5"/>
                <c:pt idx="0">
                  <c:v>38.5</c:v>
                </c:pt>
                <c:pt idx="1">
                  <c:v>45</c:v>
                </c:pt>
                <c:pt idx="2">
                  <c:v>38.5</c:v>
                </c:pt>
                <c:pt idx="3">
                  <c:v>33</c:v>
                </c:pt>
                <c:pt idx="4">
                  <c:v>42.5</c:v>
                </c:pt>
              </c:numCache>
            </c:numRef>
          </c:val>
          <c:extLst>
            <c:ext xmlns:c16="http://schemas.microsoft.com/office/drawing/2014/chart" uri="{C3380CC4-5D6E-409C-BE32-E72D297353CC}">
              <c16:uniqueId val="{00000008-84F5-0A4B-8592-EA0746B9299C}"/>
            </c:ext>
          </c:extLst>
        </c:ser>
        <c:ser>
          <c:idx val="3"/>
          <c:order val="3"/>
          <c:tx>
            <c:strRef>
              <c:f>'RT Intra-Regional Travel'!$T$33:$T$34</c:f>
              <c:strCache>
                <c:ptCount val="2"/>
                <c:pt idx="0">
                  <c:v>SV-CV Period-Total Travel Time (minutes) saved by Auto travelers (using 15% uplift of time) versus HSR travelers  (negative # is TTT minutes more of Auto travel than HSR travel)</c:v>
                </c:pt>
              </c:strCache>
            </c:strRef>
          </c:tx>
          <c:spPr>
            <a:pattFill prst="openDmnd">
              <a:fgClr>
                <a:schemeClr val="bg1"/>
              </a:fgClr>
              <a:bgClr>
                <a:srgbClr val="008000"/>
              </a:bgClr>
            </a:pattFill>
          </c:spPr>
          <c:invertIfNegative val="0"/>
          <c:dLbls>
            <c:spPr>
              <a:noFill/>
              <a:ln w="25400">
                <a:noFill/>
              </a:ln>
            </c:spPr>
            <c:txPr>
              <a:bodyPr/>
              <a:lstStyle/>
              <a:p>
                <a:pPr>
                  <a:defRPr sz="600" b="1" i="0">
                    <a:solidFill>
                      <a:srgbClr val="008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Travel'!$P$35:$P$39</c:f>
              <c:strCache>
                <c:ptCount val="5"/>
                <c:pt idx="0">
                  <c:v>San Jose-Gilroy/                 30miles</c:v>
                </c:pt>
                <c:pt idx="1">
                  <c:v>Merced-Madera/                 33miles</c:v>
                </c:pt>
                <c:pt idx="2">
                  <c:v>Madera-Fresno/                  33miles</c:v>
                </c:pt>
                <c:pt idx="3">
                  <c:v>Fresno-KT Hanford/                                             44miles</c:v>
                </c:pt>
                <c:pt idx="4">
                  <c:v>San Francisco-San Jose/                                                        48miles</c:v>
                </c:pt>
              </c:strCache>
            </c:strRef>
          </c:cat>
          <c:val>
            <c:numRef>
              <c:f>'RT Intra-Regional Travel'!$T$35:$T$39</c:f>
              <c:numCache>
                <c:formatCode>0</c:formatCode>
                <c:ptCount val="5"/>
                <c:pt idx="0">
                  <c:v>108.9</c:v>
                </c:pt>
                <c:pt idx="1">
                  <c:v>141.5</c:v>
                </c:pt>
                <c:pt idx="2">
                  <c:v>105.2</c:v>
                </c:pt>
                <c:pt idx="3">
                  <c:v>91.7</c:v>
                </c:pt>
                <c:pt idx="4">
                  <c:v>87.4</c:v>
                </c:pt>
              </c:numCache>
            </c:numRef>
          </c:val>
          <c:extLst>
            <c:ext xmlns:c16="http://schemas.microsoft.com/office/drawing/2014/chart" uri="{C3380CC4-5D6E-409C-BE32-E72D297353CC}">
              <c16:uniqueId val="{00000009-84F5-0A4B-8592-EA0746B9299C}"/>
            </c:ext>
          </c:extLst>
        </c:ser>
        <c:dLbls>
          <c:showLegendKey val="0"/>
          <c:showVal val="0"/>
          <c:showCatName val="0"/>
          <c:showSerName val="0"/>
          <c:showPercent val="0"/>
          <c:showBubbleSize val="0"/>
        </c:dLbls>
        <c:gapWidth val="40"/>
        <c:axId val="2128017768"/>
        <c:axId val="2128020920"/>
      </c:barChart>
      <c:catAx>
        <c:axId val="2128017768"/>
        <c:scaling>
          <c:orientation val="minMax"/>
        </c:scaling>
        <c:delete val="0"/>
        <c:axPos val="b"/>
        <c:numFmt formatCode="General" sourceLinked="0"/>
        <c:majorTickMark val="out"/>
        <c:minorTickMark val="none"/>
        <c:tickLblPos val="nextTo"/>
        <c:txPr>
          <a:bodyPr/>
          <a:lstStyle/>
          <a:p>
            <a:pPr>
              <a:defRPr sz="600" b="1" i="0"/>
            </a:pPr>
            <a:endParaRPr lang="en-US"/>
          </a:p>
        </c:txPr>
        <c:crossAx val="2128020920"/>
        <c:crosses val="autoZero"/>
        <c:auto val="1"/>
        <c:lblAlgn val="ctr"/>
        <c:lblOffset val="100"/>
        <c:noMultiLvlLbl val="0"/>
      </c:catAx>
      <c:valAx>
        <c:axId val="2128020920"/>
        <c:scaling>
          <c:orientation val="minMax"/>
          <c:max val="240"/>
        </c:scaling>
        <c:delete val="0"/>
        <c:axPos val="l"/>
        <c:majorGridlines>
          <c:spPr>
            <a:ln w="12700" cmpd="sng">
              <a:prstDash val="sysDot"/>
            </a:ln>
          </c:spPr>
        </c:majorGridlines>
        <c:numFmt formatCode="&quot;$&quot;#,##0" sourceLinked="1"/>
        <c:majorTickMark val="out"/>
        <c:minorTickMark val="none"/>
        <c:tickLblPos val="nextTo"/>
        <c:txPr>
          <a:bodyPr/>
          <a:lstStyle/>
          <a:p>
            <a:pPr>
              <a:defRPr sz="600"/>
            </a:pPr>
            <a:endParaRPr lang="en-US"/>
          </a:p>
        </c:txPr>
        <c:crossAx val="2128017768"/>
        <c:crosses val="autoZero"/>
        <c:crossBetween val="between"/>
      </c:valAx>
      <c:spPr>
        <a:noFill/>
        <a:ln w="25400">
          <a:noFill/>
        </a:ln>
      </c:spPr>
    </c:plotArea>
    <c:legend>
      <c:legendPos val="r"/>
      <c:layout>
        <c:manualLayout>
          <c:xMode val="edge"/>
          <c:yMode val="edge"/>
          <c:x val="5.8905260266156687E-4"/>
          <c:y val="8.112059850810481E-2"/>
          <c:w val="0.99885271219541416"/>
          <c:h val="0.25890842271822428"/>
        </c:manualLayout>
      </c:layout>
      <c:overlay val="1"/>
      <c:txPr>
        <a:bodyPr/>
        <a:lstStyle/>
        <a:p>
          <a:pPr>
            <a:defRPr sz="600" b="1" i="0"/>
          </a:pPr>
          <a:endParaRPr lang="en-US"/>
        </a:p>
      </c:txPr>
    </c:legend>
    <c:plotVisOnly val="1"/>
    <c:dispBlanksAs val="gap"/>
    <c:showDLblsOverMax val="0"/>
  </c:chart>
  <c:spPr>
    <a:noFill/>
    <a:ln w="9525">
      <a:noFill/>
    </a:ln>
  </c:spPr>
  <c:printSettings>
    <c:headerFooter/>
    <c:pageMargins b="1" l="0.750000000000001" r="0.750000000000001"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97780604405398E-2"/>
          <c:y val="4.2316598809344658E-2"/>
          <c:w val="0.93464129483814529"/>
          <c:h val="0.85666666666666669"/>
        </c:manualLayout>
      </c:layout>
      <c:barChart>
        <c:barDir val="col"/>
        <c:grouping val="clustered"/>
        <c:varyColors val="0"/>
        <c:ser>
          <c:idx val="0"/>
          <c:order val="0"/>
          <c:tx>
            <c:strRef>
              <c:f>'RT Travel NonAdjacent Regions'!$AR$7</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Regions'!$AQ$8:$AQ$12</c:f>
              <c:strCache>
                <c:ptCount val="5"/>
                <c:pt idx="0">
                  <c:v>Burbank-Gilroy (BUR)/                                                 382miles</c:v>
                </c:pt>
                <c:pt idx="1">
                  <c:v>Los Angeles-Gilroy/                                           388miles</c:v>
                </c:pt>
                <c:pt idx="2">
                  <c:v>OC Gateway (Norwalk)-Gilroy /                 402miles</c:v>
                </c:pt>
                <c:pt idx="3">
                  <c:v>Burbank (BUR)-San Jose/                                           412miles</c:v>
                </c:pt>
                <c:pt idx="4">
                  <c:v>Anaheim-Gilroy/                                           415miles</c:v>
                </c:pt>
              </c:strCache>
            </c:strRef>
          </c:cat>
          <c:val>
            <c:numRef>
              <c:f>'RT Travel NonAdjacent Regions'!$AR$8:$AR$12</c:f>
              <c:numCache>
                <c:formatCode>"$"#,##0</c:formatCode>
                <c:ptCount val="5"/>
                <c:pt idx="0">
                  <c:v>136.62</c:v>
                </c:pt>
                <c:pt idx="1">
                  <c:v>134.78</c:v>
                </c:pt>
                <c:pt idx="2">
                  <c:v>151.80000000000001</c:v>
                </c:pt>
                <c:pt idx="3">
                  <c:v>150.88</c:v>
                </c:pt>
                <c:pt idx="4">
                  <c:v>155.48000000000002</c:v>
                </c:pt>
              </c:numCache>
            </c:numRef>
          </c:val>
          <c:extLst>
            <c:ext xmlns:c16="http://schemas.microsoft.com/office/drawing/2014/chart" uri="{C3380CC4-5D6E-409C-BE32-E72D297353CC}">
              <c16:uniqueId val="{00000000-CE01-874C-9D76-171E76702F93}"/>
            </c:ext>
          </c:extLst>
        </c:ser>
        <c:ser>
          <c:idx val="1"/>
          <c:order val="1"/>
          <c:tx>
            <c:strRef>
              <c:f>'RT Travel NonAdjacent Regions'!$AS$7</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Regions'!$AQ$8:$AQ$12</c:f>
              <c:strCache>
                <c:ptCount val="5"/>
                <c:pt idx="0">
                  <c:v>Burbank-Gilroy (BUR)/                                                 382miles</c:v>
                </c:pt>
                <c:pt idx="1">
                  <c:v>Los Angeles-Gilroy/                                           388miles</c:v>
                </c:pt>
                <c:pt idx="2">
                  <c:v>OC Gateway (Norwalk)-Gilroy /                 402miles</c:v>
                </c:pt>
                <c:pt idx="3">
                  <c:v>Burbank (BUR)-San Jose/                                           412miles</c:v>
                </c:pt>
                <c:pt idx="4">
                  <c:v>Anaheim-Gilroy/                                           415miles</c:v>
                </c:pt>
              </c:strCache>
            </c:strRef>
          </c:cat>
          <c:val>
            <c:numRef>
              <c:f>'RT Travel NonAdjacent Regions'!$AS$8:$AS$12</c:f>
              <c:numCache>
                <c:formatCode>"$"#,##0</c:formatCode>
                <c:ptCount val="5"/>
                <c:pt idx="0">
                  <c:v>213</c:v>
                </c:pt>
                <c:pt idx="1">
                  <c:v>213</c:v>
                </c:pt>
                <c:pt idx="2">
                  <c:v>226</c:v>
                </c:pt>
                <c:pt idx="3">
                  <c:v>201</c:v>
                </c:pt>
                <c:pt idx="4">
                  <c:v>230.5</c:v>
                </c:pt>
              </c:numCache>
            </c:numRef>
          </c:val>
          <c:extLst>
            <c:ext xmlns:c16="http://schemas.microsoft.com/office/drawing/2014/chart" uri="{C3380CC4-5D6E-409C-BE32-E72D297353CC}">
              <c16:uniqueId val="{00000001-CE01-874C-9D76-171E76702F93}"/>
            </c:ext>
          </c:extLst>
        </c:ser>
        <c:ser>
          <c:idx val="2"/>
          <c:order val="2"/>
          <c:tx>
            <c:strRef>
              <c:f>'RT Travel NonAdjacent Regions'!$AT$7</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Regions'!$AQ$8:$AQ$12</c:f>
              <c:strCache>
                <c:ptCount val="5"/>
                <c:pt idx="0">
                  <c:v>Burbank-Gilroy (BUR)/                                                 382miles</c:v>
                </c:pt>
                <c:pt idx="1">
                  <c:v>Los Angeles-Gilroy/                                           388miles</c:v>
                </c:pt>
                <c:pt idx="2">
                  <c:v>OC Gateway (Norwalk)-Gilroy /                 402miles</c:v>
                </c:pt>
                <c:pt idx="3">
                  <c:v>Burbank (BUR)-San Jose/                                           412miles</c:v>
                </c:pt>
                <c:pt idx="4">
                  <c:v>Anaheim-Gilroy/                                           415miles</c:v>
                </c:pt>
              </c:strCache>
            </c:strRef>
          </c:cat>
          <c:val>
            <c:numRef>
              <c:f>'RT Travel NonAdjacent Regions'!$AT$8:$AT$12</c:f>
              <c:numCache>
                <c:formatCode>"$"#,##0</c:formatCode>
                <c:ptCount val="5"/>
                <c:pt idx="0">
                  <c:v>175</c:v>
                </c:pt>
                <c:pt idx="1">
                  <c:v>159</c:v>
                </c:pt>
                <c:pt idx="2">
                  <c:v>174</c:v>
                </c:pt>
                <c:pt idx="3">
                  <c:v>160</c:v>
                </c:pt>
                <c:pt idx="4">
                  <c:v>174</c:v>
                </c:pt>
              </c:numCache>
            </c:numRef>
          </c:val>
          <c:extLst>
            <c:ext xmlns:c16="http://schemas.microsoft.com/office/drawing/2014/chart" uri="{C3380CC4-5D6E-409C-BE32-E72D297353CC}">
              <c16:uniqueId val="{00000002-CE01-874C-9D76-171E76702F93}"/>
            </c:ext>
          </c:extLst>
        </c:ser>
        <c:ser>
          <c:idx val="3"/>
          <c:order val="3"/>
          <c:tx>
            <c:strRef>
              <c:f>'RT Travel NonAdjacent Regions'!$AU$7</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Regions'!$AQ$8:$AQ$12</c:f>
              <c:strCache>
                <c:ptCount val="5"/>
                <c:pt idx="0">
                  <c:v>Burbank-Gilroy (BUR)/                                                 382miles</c:v>
                </c:pt>
                <c:pt idx="1">
                  <c:v>Los Angeles-Gilroy/                                           388miles</c:v>
                </c:pt>
                <c:pt idx="2">
                  <c:v>OC Gateway (Norwalk)-Gilroy /                 402miles</c:v>
                </c:pt>
                <c:pt idx="3">
                  <c:v>Burbank (BUR)-San Jose/                                           412miles</c:v>
                </c:pt>
                <c:pt idx="4">
                  <c:v>Anaheim-Gilroy/                                           415miles</c:v>
                </c:pt>
              </c:strCache>
            </c:strRef>
          </c:cat>
          <c:val>
            <c:numRef>
              <c:f>'RT Travel NonAdjacent Regions'!$AU$8:$AU$12</c:f>
              <c:numCache>
                <c:formatCode>#,##0</c:formatCode>
                <c:ptCount val="5"/>
                <c:pt idx="0">
                  <c:v>45.600000000000023</c:v>
                </c:pt>
                <c:pt idx="1">
                  <c:v>99.300000000000068</c:v>
                </c:pt>
                <c:pt idx="2">
                  <c:v>103.80000000000007</c:v>
                </c:pt>
                <c:pt idx="3">
                  <c:v>10.200000000000045</c:v>
                </c:pt>
                <c:pt idx="4">
                  <c:v>76.200000000000045</c:v>
                </c:pt>
              </c:numCache>
            </c:numRef>
          </c:val>
          <c:extLst>
            <c:ext xmlns:c16="http://schemas.microsoft.com/office/drawing/2014/chart" uri="{C3380CC4-5D6E-409C-BE32-E72D297353CC}">
              <c16:uniqueId val="{00000003-CE01-874C-9D76-171E76702F93}"/>
            </c:ext>
          </c:extLst>
        </c:ser>
        <c:ser>
          <c:idx val="4"/>
          <c:order val="4"/>
          <c:tx>
            <c:strRef>
              <c:f>'RT Travel NonAdjacent Regions'!$AV$7</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accen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Regions'!$AQ$8:$AQ$12</c:f>
              <c:strCache>
                <c:ptCount val="5"/>
                <c:pt idx="0">
                  <c:v>Burbank-Gilroy (BUR)/                                                 382miles</c:v>
                </c:pt>
                <c:pt idx="1">
                  <c:v>Los Angeles-Gilroy/                                           388miles</c:v>
                </c:pt>
                <c:pt idx="2">
                  <c:v>OC Gateway (Norwalk)-Gilroy /                 402miles</c:v>
                </c:pt>
                <c:pt idx="3">
                  <c:v>Burbank (BUR)-San Jose/                                           412miles</c:v>
                </c:pt>
                <c:pt idx="4">
                  <c:v>Anaheim-Gilroy/                                           415miles</c:v>
                </c:pt>
              </c:strCache>
            </c:strRef>
          </c:cat>
          <c:val>
            <c:numRef>
              <c:f>'RT Travel NonAdjacent Regions'!$AV$8:$AV$12</c:f>
              <c:numCache>
                <c:formatCode>#,##0</c:formatCode>
                <c:ptCount val="5"/>
                <c:pt idx="0">
                  <c:v>282</c:v>
                </c:pt>
                <c:pt idx="1">
                  <c:v>338</c:v>
                </c:pt>
                <c:pt idx="2">
                  <c:v>446</c:v>
                </c:pt>
                <c:pt idx="3">
                  <c:v>92</c:v>
                </c:pt>
                <c:pt idx="4">
                  <c:v>446</c:v>
                </c:pt>
              </c:numCache>
            </c:numRef>
          </c:val>
          <c:extLst>
            <c:ext xmlns:c16="http://schemas.microsoft.com/office/drawing/2014/chart" uri="{C3380CC4-5D6E-409C-BE32-E72D297353CC}">
              <c16:uniqueId val="{00000004-CE01-874C-9D76-171E76702F93}"/>
            </c:ext>
          </c:extLst>
        </c:ser>
        <c:dLbls>
          <c:showLegendKey val="0"/>
          <c:showVal val="0"/>
          <c:showCatName val="0"/>
          <c:showSerName val="0"/>
          <c:showPercent val="0"/>
          <c:showBubbleSize val="0"/>
        </c:dLbls>
        <c:gapWidth val="50"/>
        <c:axId val="845346800"/>
        <c:axId val="846118864"/>
      </c:barChart>
      <c:catAx>
        <c:axId val="84534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846118864"/>
        <c:crosses val="autoZero"/>
        <c:auto val="1"/>
        <c:lblAlgn val="ctr"/>
        <c:lblOffset val="100"/>
        <c:noMultiLvlLbl val="0"/>
      </c:catAx>
      <c:valAx>
        <c:axId val="846118864"/>
        <c:scaling>
          <c:orientation val="minMax"/>
          <c:max val="750"/>
          <c:min val="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845346800"/>
        <c:crosses val="autoZero"/>
        <c:crossBetween val="between"/>
      </c:valAx>
      <c:spPr>
        <a:noFill/>
        <a:ln>
          <a:noFill/>
        </a:ln>
        <a:effectLst/>
      </c:spPr>
    </c:plotArea>
    <c:legend>
      <c:legendPos val="b"/>
      <c:layout>
        <c:manualLayout>
          <c:xMode val="edge"/>
          <c:yMode val="edge"/>
          <c:x val="9.6450582376940455E-5"/>
          <c:y val="7.7253929616685785E-2"/>
          <c:w val="0.89565404171370067"/>
          <c:h val="0.2884465019090933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689537766048001E-2"/>
          <c:y val="4.5823546217654956E-2"/>
          <c:w val="0.959310462233952"/>
          <c:h val="0.89122959630341425"/>
        </c:manualLayout>
      </c:layout>
      <c:barChart>
        <c:barDir val="col"/>
        <c:grouping val="clustered"/>
        <c:varyColors val="0"/>
        <c:ser>
          <c:idx val="0"/>
          <c:order val="0"/>
          <c:tx>
            <c:strRef>
              <c:f>'RT Travel NonAdjacent Regions'!$AR$19</c:f>
              <c:strCache>
                <c:ptCount val="1"/>
                <c:pt idx="0">
                  <c:v>SV-CV Period: Cost of Driving Alone Round-Trip @ 23¢/mile, the Authority's metric for fully-loaded auto costs</c:v>
                </c:pt>
              </c:strCache>
            </c:strRef>
          </c:tx>
          <c:spPr>
            <a:pattFill prst="pct5">
              <a:fgClr>
                <a:schemeClr val="accent1">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Regions'!$AQ$20:$AQ$24</c:f>
              <c:strCache>
                <c:ptCount val="5"/>
                <c:pt idx="0">
                  <c:v>Los Angeles-San Jose/                           418miles</c:v>
                </c:pt>
                <c:pt idx="1">
                  <c:v>San Jose-OC Gateway (Norwalk)/432 miles</c:v>
                </c:pt>
                <c:pt idx="2">
                  <c:v>San Jose-Anaheim/                         445miles</c:v>
                </c:pt>
                <c:pt idx="3">
                  <c:v>Los Angeles-San Francisco/                               466miles</c:v>
                </c:pt>
                <c:pt idx="4">
                  <c:v>Long Beach-Oakland/                 503miles</c:v>
                </c:pt>
              </c:strCache>
            </c:strRef>
          </c:cat>
          <c:val>
            <c:numRef>
              <c:f>'RT Travel NonAdjacent Regions'!$AR$20:$AR$24</c:f>
              <c:numCache>
                <c:formatCode>"$"#,##0</c:formatCode>
                <c:ptCount val="5"/>
                <c:pt idx="0">
                  <c:v>152.72</c:v>
                </c:pt>
                <c:pt idx="1">
                  <c:v>163.30000000000001</c:v>
                </c:pt>
                <c:pt idx="2">
                  <c:v>170.66</c:v>
                </c:pt>
                <c:pt idx="3">
                  <c:v>175.26000000000002</c:v>
                </c:pt>
                <c:pt idx="4">
                  <c:v>181.24</c:v>
                </c:pt>
              </c:numCache>
            </c:numRef>
          </c:val>
          <c:extLst>
            <c:ext xmlns:c16="http://schemas.microsoft.com/office/drawing/2014/chart" uri="{C3380CC4-5D6E-409C-BE32-E72D297353CC}">
              <c16:uniqueId val="{00000000-EDED-284C-967E-738C742D2405}"/>
            </c:ext>
          </c:extLst>
        </c:ser>
        <c:ser>
          <c:idx val="1"/>
          <c:order val="1"/>
          <c:tx>
            <c:strRef>
              <c:f>'RT Travel NonAdjacent Regions'!$AS$19</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Regions'!$AQ$20:$AQ$24</c:f>
              <c:strCache>
                <c:ptCount val="5"/>
                <c:pt idx="0">
                  <c:v>Los Angeles-San Jose/                           418miles</c:v>
                </c:pt>
                <c:pt idx="1">
                  <c:v>San Jose-OC Gateway (Norwalk)/432 miles</c:v>
                </c:pt>
                <c:pt idx="2">
                  <c:v>San Jose-Anaheim/                         445miles</c:v>
                </c:pt>
                <c:pt idx="3">
                  <c:v>Los Angeles-San Francisco/                               466miles</c:v>
                </c:pt>
                <c:pt idx="4">
                  <c:v>Long Beach-Oakland/                 503miles</c:v>
                </c:pt>
              </c:strCache>
            </c:strRef>
          </c:cat>
          <c:val>
            <c:numRef>
              <c:f>'RT Travel NonAdjacent Regions'!$AS$20:$AS$24</c:f>
              <c:numCache>
                <c:formatCode>"$"#,##0</c:formatCode>
                <c:ptCount val="5"/>
                <c:pt idx="0">
                  <c:v>223</c:v>
                </c:pt>
                <c:pt idx="1">
                  <c:v>236</c:v>
                </c:pt>
                <c:pt idx="2">
                  <c:v>240.5</c:v>
                </c:pt>
                <c:pt idx="3">
                  <c:v>235</c:v>
                </c:pt>
                <c:pt idx="4">
                  <c:v>245.4</c:v>
                </c:pt>
              </c:numCache>
            </c:numRef>
          </c:val>
          <c:extLst>
            <c:ext xmlns:c16="http://schemas.microsoft.com/office/drawing/2014/chart" uri="{C3380CC4-5D6E-409C-BE32-E72D297353CC}">
              <c16:uniqueId val="{00000001-EDED-284C-967E-738C742D2405}"/>
            </c:ext>
          </c:extLst>
        </c:ser>
        <c:ser>
          <c:idx val="2"/>
          <c:order val="2"/>
          <c:tx>
            <c:strRef>
              <c:f>'RT Travel NonAdjacent Regions'!$AT$19</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Regions'!$AQ$20:$AQ$24</c:f>
              <c:strCache>
                <c:ptCount val="5"/>
                <c:pt idx="0">
                  <c:v>Los Angeles-San Jose/                           418miles</c:v>
                </c:pt>
                <c:pt idx="1">
                  <c:v>San Jose-OC Gateway (Norwalk)/432 miles</c:v>
                </c:pt>
                <c:pt idx="2">
                  <c:v>San Jose-Anaheim/                         445miles</c:v>
                </c:pt>
                <c:pt idx="3">
                  <c:v>Los Angeles-San Francisco/                               466miles</c:v>
                </c:pt>
                <c:pt idx="4">
                  <c:v>Long Beach-Oakland/                 503miles</c:v>
                </c:pt>
              </c:strCache>
            </c:strRef>
          </c:cat>
          <c:val>
            <c:numRef>
              <c:f>'RT Travel NonAdjacent Regions'!$AT$20:$AT$24</c:f>
              <c:numCache>
                <c:formatCode>"$"#,##0</c:formatCode>
                <c:ptCount val="5"/>
                <c:pt idx="0">
                  <c:v>144</c:v>
                </c:pt>
                <c:pt idx="1">
                  <c:v>159</c:v>
                </c:pt>
                <c:pt idx="2">
                  <c:v>159</c:v>
                </c:pt>
                <c:pt idx="3">
                  <c:v>112</c:v>
                </c:pt>
                <c:pt idx="4">
                  <c:v>145</c:v>
                </c:pt>
              </c:numCache>
            </c:numRef>
          </c:val>
          <c:extLst>
            <c:ext xmlns:c16="http://schemas.microsoft.com/office/drawing/2014/chart" uri="{C3380CC4-5D6E-409C-BE32-E72D297353CC}">
              <c16:uniqueId val="{00000002-EDED-284C-967E-738C742D2405}"/>
            </c:ext>
          </c:extLst>
        </c:ser>
        <c:ser>
          <c:idx val="3"/>
          <c:order val="3"/>
          <c:tx>
            <c:strRef>
              <c:f>'RT Travel NonAdjacent Regions'!$AU$19</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Regions'!$AQ$20:$AQ$24</c:f>
              <c:strCache>
                <c:ptCount val="5"/>
                <c:pt idx="0">
                  <c:v>Los Angeles-San Jose/                           418miles</c:v>
                </c:pt>
                <c:pt idx="1">
                  <c:v>San Jose-OC Gateway (Norwalk)/432 miles</c:v>
                </c:pt>
                <c:pt idx="2">
                  <c:v>San Jose-Anaheim/                         445miles</c:v>
                </c:pt>
                <c:pt idx="3">
                  <c:v>Los Angeles-San Francisco/                               466miles</c:v>
                </c:pt>
                <c:pt idx="4">
                  <c:v>Long Beach-Oakland/                 503miles</c:v>
                </c:pt>
              </c:strCache>
            </c:strRef>
          </c:cat>
          <c:val>
            <c:numRef>
              <c:f>'RT Travel NonAdjacent Regions'!$AU$20:$AU$24</c:f>
              <c:numCache>
                <c:formatCode>#,##0</c:formatCode>
                <c:ptCount val="5"/>
                <c:pt idx="0">
                  <c:v>73.100000000000023</c:v>
                </c:pt>
                <c:pt idx="1">
                  <c:v>103.40000000000009</c:v>
                </c:pt>
                <c:pt idx="2">
                  <c:v>48.200000000000045</c:v>
                </c:pt>
                <c:pt idx="3">
                  <c:v>32.300000000000068</c:v>
                </c:pt>
                <c:pt idx="4">
                  <c:v>314.40000000000009</c:v>
                </c:pt>
              </c:numCache>
            </c:numRef>
          </c:val>
          <c:extLst>
            <c:ext xmlns:c16="http://schemas.microsoft.com/office/drawing/2014/chart" uri="{C3380CC4-5D6E-409C-BE32-E72D297353CC}">
              <c16:uniqueId val="{00000003-EDED-284C-967E-738C742D2405}"/>
            </c:ext>
          </c:extLst>
        </c:ser>
        <c:ser>
          <c:idx val="4"/>
          <c:order val="4"/>
          <c:tx>
            <c:strRef>
              <c:f>'RT Travel NonAdjacent Regions'!$AV$19</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Regions'!$AQ$20:$AQ$24</c:f>
              <c:strCache>
                <c:ptCount val="5"/>
                <c:pt idx="0">
                  <c:v>Los Angeles-San Jose/                           418miles</c:v>
                </c:pt>
                <c:pt idx="1">
                  <c:v>San Jose-OC Gateway (Norwalk)/432 miles</c:v>
                </c:pt>
                <c:pt idx="2">
                  <c:v>San Jose-Anaheim/                         445miles</c:v>
                </c:pt>
                <c:pt idx="3">
                  <c:v>Los Angeles-San Francisco/                               466miles</c:v>
                </c:pt>
                <c:pt idx="4">
                  <c:v>Long Beach-Oakland/                 503miles</c:v>
                </c:pt>
              </c:strCache>
            </c:strRef>
          </c:cat>
          <c:val>
            <c:numRef>
              <c:f>'RT Travel NonAdjacent Regions'!$AV$20:$AV$24</c:f>
              <c:numCache>
                <c:formatCode>#,##0</c:formatCode>
                <c:ptCount val="5"/>
                <c:pt idx="0">
                  <c:v>390</c:v>
                </c:pt>
                <c:pt idx="1">
                  <c:v>464</c:v>
                </c:pt>
                <c:pt idx="2">
                  <c:v>464</c:v>
                </c:pt>
                <c:pt idx="3">
                  <c:v>448</c:v>
                </c:pt>
                <c:pt idx="4">
                  <c:v>740</c:v>
                </c:pt>
              </c:numCache>
            </c:numRef>
          </c:val>
          <c:extLst>
            <c:ext xmlns:c16="http://schemas.microsoft.com/office/drawing/2014/chart" uri="{C3380CC4-5D6E-409C-BE32-E72D297353CC}">
              <c16:uniqueId val="{00000004-EDED-284C-967E-738C742D2405}"/>
            </c:ext>
          </c:extLst>
        </c:ser>
        <c:dLbls>
          <c:showLegendKey val="0"/>
          <c:showVal val="0"/>
          <c:showCatName val="0"/>
          <c:showSerName val="0"/>
          <c:showPercent val="0"/>
          <c:showBubbleSize val="0"/>
        </c:dLbls>
        <c:gapWidth val="50"/>
        <c:axId val="1548395072"/>
        <c:axId val="1548307792"/>
      </c:barChart>
      <c:catAx>
        <c:axId val="154839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548307792"/>
        <c:crosses val="autoZero"/>
        <c:auto val="1"/>
        <c:lblAlgn val="ctr"/>
        <c:lblOffset val="100"/>
        <c:noMultiLvlLbl val="0"/>
      </c:catAx>
      <c:valAx>
        <c:axId val="1548307792"/>
        <c:scaling>
          <c:orientation val="minMax"/>
          <c:max val="78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548395072"/>
        <c:crosses val="autoZero"/>
        <c:crossBetween val="between"/>
      </c:valAx>
      <c:spPr>
        <a:noFill/>
        <a:ln>
          <a:noFill/>
        </a:ln>
        <a:effectLst/>
      </c:spPr>
    </c:plotArea>
    <c:legend>
      <c:legendPos val="b"/>
      <c:layout>
        <c:manualLayout>
          <c:xMode val="edge"/>
          <c:yMode val="edge"/>
          <c:x val="0"/>
          <c:y val="8.0368661417787743E-2"/>
          <c:w val="0.84285537460435345"/>
          <c:h val="0.2447754761040211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940939891864005E-2"/>
          <c:y val="4.4907991174483054E-2"/>
          <c:w val="0.96305901191830945"/>
          <c:h val="0.88290922302196839"/>
        </c:manualLayout>
      </c:layout>
      <c:barChart>
        <c:barDir val="col"/>
        <c:grouping val="clustered"/>
        <c:varyColors val="0"/>
        <c:ser>
          <c:idx val="0"/>
          <c:order val="0"/>
          <c:tx>
            <c:strRef>
              <c:f>'RT Travel NonAdjacent Regions'!$AR$31</c:f>
              <c:strCache>
                <c:ptCount val="1"/>
                <c:pt idx="0">
                  <c:v>SV-CV Period: Cost of Driving Alone Round-Trip @ 23¢/mile, the Authority's metric for fully-loaded auto costs</c:v>
                </c:pt>
              </c:strCache>
            </c:strRef>
          </c:tx>
          <c:spPr>
            <a:pattFill prst="pct2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Regions'!$AQ$32:$AQ$35</c:f>
              <c:strCache>
                <c:ptCount val="4"/>
                <c:pt idx="0">
                  <c:v>Gilroy-Long Beach/                                413miles</c:v>
                </c:pt>
                <c:pt idx="1">
                  <c:v>San Jose-Long Beach/                                443miles</c:v>
                </c:pt>
                <c:pt idx="2">
                  <c:v>San Francisco-Burbank (BUR)/                                  460miles</c:v>
                </c:pt>
                <c:pt idx="3">
                  <c:v>San Francisco-OC Gateway/                                 480miles</c:v>
                </c:pt>
              </c:strCache>
            </c:strRef>
          </c:cat>
          <c:val>
            <c:numRef>
              <c:f>'RT Travel NonAdjacent Regions'!$AR$32:$AR$35</c:f>
              <c:numCache>
                <c:formatCode>"$"#,##0</c:formatCode>
                <c:ptCount val="4"/>
                <c:pt idx="0">
                  <c:v>152.72</c:v>
                </c:pt>
                <c:pt idx="1">
                  <c:v>166.98000000000002</c:v>
                </c:pt>
                <c:pt idx="2">
                  <c:v>169.28</c:v>
                </c:pt>
                <c:pt idx="3">
                  <c:v>181.70000000000002</c:v>
                </c:pt>
              </c:numCache>
            </c:numRef>
          </c:val>
          <c:extLst>
            <c:ext xmlns:c16="http://schemas.microsoft.com/office/drawing/2014/chart" uri="{C3380CC4-5D6E-409C-BE32-E72D297353CC}">
              <c16:uniqueId val="{00000000-D59D-614A-854B-E6C50275B409}"/>
            </c:ext>
          </c:extLst>
        </c:ser>
        <c:ser>
          <c:idx val="1"/>
          <c:order val="1"/>
          <c:tx>
            <c:strRef>
              <c:f>'RT Travel NonAdjacent Regions'!$AS$31</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Regions'!$AQ$32:$AQ$35</c:f>
              <c:strCache>
                <c:ptCount val="4"/>
                <c:pt idx="0">
                  <c:v>Gilroy-Long Beach/                                413miles</c:v>
                </c:pt>
                <c:pt idx="1">
                  <c:v>San Jose-Long Beach/                                443miles</c:v>
                </c:pt>
                <c:pt idx="2">
                  <c:v>San Francisco-Burbank (BUR)/                                  460miles</c:v>
                </c:pt>
                <c:pt idx="3">
                  <c:v>San Francisco-OC Gateway/                                 480miles</c:v>
                </c:pt>
              </c:strCache>
            </c:strRef>
          </c:cat>
          <c:val>
            <c:numRef>
              <c:f>'RT Travel NonAdjacent Regions'!$AS$32:$AS$35</c:f>
              <c:numCache>
                <c:formatCode>"$"#,##0</c:formatCode>
                <c:ptCount val="4"/>
                <c:pt idx="0">
                  <c:v>216.5</c:v>
                </c:pt>
                <c:pt idx="1">
                  <c:v>226.5</c:v>
                </c:pt>
                <c:pt idx="2">
                  <c:v>235</c:v>
                </c:pt>
                <c:pt idx="3">
                  <c:v>248</c:v>
                </c:pt>
              </c:numCache>
            </c:numRef>
          </c:val>
          <c:extLst>
            <c:ext xmlns:c16="http://schemas.microsoft.com/office/drawing/2014/chart" uri="{C3380CC4-5D6E-409C-BE32-E72D297353CC}">
              <c16:uniqueId val="{00000001-D59D-614A-854B-E6C50275B409}"/>
            </c:ext>
          </c:extLst>
        </c:ser>
        <c:ser>
          <c:idx val="2"/>
          <c:order val="2"/>
          <c:tx>
            <c:strRef>
              <c:f>'RT Travel NonAdjacent Regions'!$AT$31</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Regions'!$AQ$32:$AQ$35</c:f>
              <c:strCache>
                <c:ptCount val="4"/>
                <c:pt idx="0">
                  <c:v>Gilroy-Long Beach/                                413miles</c:v>
                </c:pt>
                <c:pt idx="1">
                  <c:v>San Jose-Long Beach/                                443miles</c:v>
                </c:pt>
                <c:pt idx="2">
                  <c:v>San Francisco-Burbank (BUR)/                                  460miles</c:v>
                </c:pt>
                <c:pt idx="3">
                  <c:v>San Francisco-OC Gateway/                                 480miles</c:v>
                </c:pt>
              </c:strCache>
            </c:strRef>
          </c:cat>
          <c:val>
            <c:numRef>
              <c:f>'RT Travel NonAdjacent Regions'!$AT$32:$AT$35</c:f>
              <c:numCache>
                <c:formatCode>"$"#,##0</c:formatCode>
                <c:ptCount val="4"/>
                <c:pt idx="0">
                  <c:v>207</c:v>
                </c:pt>
                <c:pt idx="1">
                  <c:v>192</c:v>
                </c:pt>
                <c:pt idx="2">
                  <c:v>176</c:v>
                </c:pt>
                <c:pt idx="3">
                  <c:v>127</c:v>
                </c:pt>
              </c:numCache>
            </c:numRef>
          </c:val>
          <c:extLst>
            <c:ext xmlns:c16="http://schemas.microsoft.com/office/drawing/2014/chart" uri="{C3380CC4-5D6E-409C-BE32-E72D297353CC}">
              <c16:uniqueId val="{00000002-D59D-614A-854B-E6C50275B409}"/>
            </c:ext>
          </c:extLst>
        </c:ser>
        <c:ser>
          <c:idx val="3"/>
          <c:order val="3"/>
          <c:tx>
            <c:strRef>
              <c:f>'RT Travel NonAdjacent Regions'!$AU$31</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Regions'!$AQ$32:$AQ$35</c:f>
              <c:strCache>
                <c:ptCount val="4"/>
                <c:pt idx="0">
                  <c:v>Gilroy-Long Beach/                                413miles</c:v>
                </c:pt>
                <c:pt idx="1">
                  <c:v>San Jose-Long Beach/                                443miles</c:v>
                </c:pt>
                <c:pt idx="2">
                  <c:v>San Francisco-Burbank (BUR)/                                  460miles</c:v>
                </c:pt>
                <c:pt idx="3">
                  <c:v>San Francisco-OC Gateway/                                 480miles</c:v>
                </c:pt>
              </c:strCache>
            </c:strRef>
          </c:cat>
          <c:val>
            <c:numRef>
              <c:f>'RT Travel NonAdjacent Regions'!$AU$32:$AU$35</c:f>
              <c:numCache>
                <c:formatCode>#,##0</c:formatCode>
                <c:ptCount val="4"/>
                <c:pt idx="0">
                  <c:v>185.5</c:v>
                </c:pt>
                <c:pt idx="1">
                  <c:v>163.90000000000009</c:v>
                </c:pt>
                <c:pt idx="2">
                  <c:v>59.100000000000023</c:v>
                </c:pt>
                <c:pt idx="3">
                  <c:v>30.000000000000114</c:v>
                </c:pt>
              </c:numCache>
            </c:numRef>
          </c:val>
          <c:extLst>
            <c:ext xmlns:c16="http://schemas.microsoft.com/office/drawing/2014/chart" uri="{C3380CC4-5D6E-409C-BE32-E72D297353CC}">
              <c16:uniqueId val="{00000003-D59D-614A-854B-E6C50275B409}"/>
            </c:ext>
          </c:extLst>
        </c:ser>
        <c:ser>
          <c:idx val="4"/>
          <c:order val="4"/>
          <c:tx>
            <c:strRef>
              <c:f>'RT Travel NonAdjacent Regions'!$AV$31</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Regions'!$AQ$32:$AQ$35</c:f>
              <c:strCache>
                <c:ptCount val="4"/>
                <c:pt idx="0">
                  <c:v>Gilroy-Long Beach/                                413miles</c:v>
                </c:pt>
                <c:pt idx="1">
                  <c:v>San Jose-Long Beach/                                443miles</c:v>
                </c:pt>
                <c:pt idx="2">
                  <c:v>San Francisco-Burbank (BUR)/                                  460miles</c:v>
                </c:pt>
                <c:pt idx="3">
                  <c:v>San Francisco-OC Gateway/                                 480miles</c:v>
                </c:pt>
              </c:strCache>
            </c:strRef>
          </c:cat>
          <c:val>
            <c:numRef>
              <c:f>'RT Travel NonAdjacent Regions'!$AV$32:$AV$35</c:f>
              <c:numCache>
                <c:formatCode>#,##0</c:formatCode>
                <c:ptCount val="4"/>
                <c:pt idx="0">
                  <c:v>534</c:v>
                </c:pt>
                <c:pt idx="1">
                  <c:v>586</c:v>
                </c:pt>
                <c:pt idx="2">
                  <c:v>398</c:v>
                </c:pt>
                <c:pt idx="3">
                  <c:v>446</c:v>
                </c:pt>
              </c:numCache>
            </c:numRef>
          </c:val>
          <c:extLst>
            <c:ext xmlns:c16="http://schemas.microsoft.com/office/drawing/2014/chart" uri="{C3380CC4-5D6E-409C-BE32-E72D297353CC}">
              <c16:uniqueId val="{00000004-D59D-614A-854B-E6C50275B409}"/>
            </c:ext>
          </c:extLst>
        </c:ser>
        <c:dLbls>
          <c:showLegendKey val="0"/>
          <c:showVal val="0"/>
          <c:showCatName val="0"/>
          <c:showSerName val="0"/>
          <c:showPercent val="0"/>
          <c:showBubbleSize val="0"/>
        </c:dLbls>
        <c:gapWidth val="50"/>
        <c:axId val="1541006224"/>
        <c:axId val="1535130416"/>
      </c:barChart>
      <c:catAx>
        <c:axId val="154100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1" i="0" u="none" strike="noStrike" kern="1200" baseline="0">
                <a:solidFill>
                  <a:schemeClr val="tx1">
                    <a:lumMod val="65000"/>
                    <a:lumOff val="35000"/>
                  </a:schemeClr>
                </a:solidFill>
                <a:latin typeface="+mn-lt"/>
                <a:ea typeface="+mn-ea"/>
                <a:cs typeface="+mn-cs"/>
              </a:defRPr>
            </a:pPr>
            <a:endParaRPr lang="en-US"/>
          </a:p>
        </c:txPr>
        <c:crossAx val="1535130416"/>
        <c:crosses val="autoZero"/>
        <c:auto val="1"/>
        <c:lblAlgn val="ctr"/>
        <c:lblOffset val="100"/>
        <c:noMultiLvlLbl val="0"/>
      </c:catAx>
      <c:valAx>
        <c:axId val="1535130416"/>
        <c:scaling>
          <c:orientation val="minMax"/>
          <c:max val="8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541006224"/>
        <c:crosses val="autoZero"/>
        <c:crossBetween val="between"/>
      </c:valAx>
      <c:spPr>
        <a:noFill/>
        <a:ln>
          <a:noFill/>
        </a:ln>
        <a:effectLst/>
      </c:spPr>
    </c:plotArea>
    <c:legend>
      <c:legendPos val="b"/>
      <c:layout>
        <c:manualLayout>
          <c:xMode val="edge"/>
          <c:yMode val="edge"/>
          <c:x val="0.52902299451299994"/>
          <c:y val="2.4642571046542459E-3"/>
          <c:w val="0.47067772107157041"/>
          <c:h val="0.36215943371222836"/>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34251968503935E-2"/>
          <c:y val="5.0925925925925923E-2"/>
          <c:w val="0.9442657480314961"/>
          <c:h val="0.85666666666666669"/>
        </c:manualLayout>
      </c:layout>
      <c:barChart>
        <c:barDir val="col"/>
        <c:grouping val="clustered"/>
        <c:varyColors val="0"/>
        <c:ser>
          <c:idx val="0"/>
          <c:order val="0"/>
          <c:tx>
            <c:strRef>
              <c:f>'RT Travel NonAdjacent Regions'!$AR$51</c:f>
              <c:strCache>
                <c:ptCount val="1"/>
                <c:pt idx="0">
                  <c:v>SV-CV Period: Cost of Driving Alone Round-Trip @ 23¢/mile, the Authority's metric for fully-loaded auto costs</c:v>
                </c:pt>
              </c:strCache>
            </c:strRef>
          </c:tx>
          <c:spPr>
            <a:pattFill prst="pct2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lumMod val="9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Regions'!$AQ$52:$AQ$55</c:f>
              <c:strCache>
                <c:ptCount val="4"/>
                <c:pt idx="0">
                  <c:v>San Francisco-Long Beach/                                491miles</c:v>
                </c:pt>
                <c:pt idx="1">
                  <c:v>San Francisco-Anaheim/                                   493miles</c:v>
                </c:pt>
                <c:pt idx="2">
                  <c:v>San Jose-San Diego/                                  546miles</c:v>
                </c:pt>
                <c:pt idx="3">
                  <c:v>Oakland-San Diego/                    594miles</c:v>
                </c:pt>
              </c:strCache>
            </c:strRef>
          </c:cat>
          <c:val>
            <c:numRef>
              <c:f>'RT Travel NonAdjacent Regions'!$AR$52:$AR$55</c:f>
              <c:numCache>
                <c:formatCode>"$"#,##0</c:formatCode>
                <c:ptCount val="4"/>
                <c:pt idx="0">
                  <c:v>185.38</c:v>
                </c:pt>
                <c:pt idx="1">
                  <c:v>189.06</c:v>
                </c:pt>
                <c:pt idx="2">
                  <c:v>211.60000000000002</c:v>
                </c:pt>
                <c:pt idx="3">
                  <c:v>225.4</c:v>
                </c:pt>
              </c:numCache>
            </c:numRef>
          </c:val>
          <c:extLst>
            <c:ext xmlns:c16="http://schemas.microsoft.com/office/drawing/2014/chart" uri="{C3380CC4-5D6E-409C-BE32-E72D297353CC}">
              <c16:uniqueId val="{00000000-D228-274F-A49F-6CE0446956CD}"/>
            </c:ext>
          </c:extLst>
        </c:ser>
        <c:ser>
          <c:idx val="1"/>
          <c:order val="1"/>
          <c:tx>
            <c:strRef>
              <c:f>'RT Travel NonAdjacent Regions'!$AS$51</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Regions'!$AQ$52:$AQ$55</c:f>
              <c:strCache>
                <c:ptCount val="4"/>
                <c:pt idx="0">
                  <c:v>San Francisco-Long Beach/                                491miles</c:v>
                </c:pt>
                <c:pt idx="1">
                  <c:v>San Francisco-Anaheim/                                   493miles</c:v>
                </c:pt>
                <c:pt idx="2">
                  <c:v>San Jose-San Diego/                                  546miles</c:v>
                </c:pt>
                <c:pt idx="3">
                  <c:v>Oakland-San Diego/                    594miles</c:v>
                </c:pt>
              </c:strCache>
            </c:strRef>
          </c:cat>
          <c:val>
            <c:numRef>
              <c:f>'RT Travel NonAdjacent Regions'!$AS$52:$AS$55</c:f>
              <c:numCache>
                <c:formatCode>"$"#,##0</c:formatCode>
                <c:ptCount val="4"/>
                <c:pt idx="0">
                  <c:v>238.5</c:v>
                </c:pt>
                <c:pt idx="1">
                  <c:v>252.5</c:v>
                </c:pt>
                <c:pt idx="2">
                  <c:v>294.3</c:v>
                </c:pt>
                <c:pt idx="3">
                  <c:v>313.2</c:v>
                </c:pt>
              </c:numCache>
            </c:numRef>
          </c:val>
          <c:extLst>
            <c:ext xmlns:c16="http://schemas.microsoft.com/office/drawing/2014/chart" uri="{C3380CC4-5D6E-409C-BE32-E72D297353CC}">
              <c16:uniqueId val="{00000001-D228-274F-A49F-6CE0446956CD}"/>
            </c:ext>
          </c:extLst>
        </c:ser>
        <c:ser>
          <c:idx val="2"/>
          <c:order val="2"/>
          <c:tx>
            <c:strRef>
              <c:f>'RT Travel NonAdjacent Regions'!$AT$51</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Regions'!$AQ$52:$AQ$55</c:f>
              <c:strCache>
                <c:ptCount val="4"/>
                <c:pt idx="0">
                  <c:v>San Francisco-Long Beach/                                491miles</c:v>
                </c:pt>
                <c:pt idx="1">
                  <c:v>San Francisco-Anaheim/                                   493miles</c:v>
                </c:pt>
                <c:pt idx="2">
                  <c:v>San Jose-San Diego/                                  546miles</c:v>
                </c:pt>
                <c:pt idx="3">
                  <c:v>Oakland-San Diego/                    594miles</c:v>
                </c:pt>
              </c:strCache>
            </c:strRef>
          </c:cat>
          <c:val>
            <c:numRef>
              <c:f>'RT Travel NonAdjacent Regions'!$AT$52:$AT$55</c:f>
              <c:numCache>
                <c:formatCode>"$"#,##0</c:formatCode>
                <c:ptCount val="4"/>
                <c:pt idx="0">
                  <c:v>172</c:v>
                </c:pt>
                <c:pt idx="1">
                  <c:v>127</c:v>
                </c:pt>
                <c:pt idx="2">
                  <c:v>217</c:v>
                </c:pt>
                <c:pt idx="3">
                  <c:v>199</c:v>
                </c:pt>
              </c:numCache>
            </c:numRef>
          </c:val>
          <c:extLst>
            <c:ext xmlns:c16="http://schemas.microsoft.com/office/drawing/2014/chart" uri="{C3380CC4-5D6E-409C-BE32-E72D297353CC}">
              <c16:uniqueId val="{00000002-D228-274F-A49F-6CE0446956CD}"/>
            </c:ext>
          </c:extLst>
        </c:ser>
        <c:ser>
          <c:idx val="3"/>
          <c:order val="3"/>
          <c:tx>
            <c:strRef>
              <c:f>'RT Travel NonAdjacent Regions'!$AU$51</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Regions'!$AQ$52:$AQ$55</c:f>
              <c:strCache>
                <c:ptCount val="4"/>
                <c:pt idx="0">
                  <c:v>San Francisco-Long Beach/                                491miles</c:v>
                </c:pt>
                <c:pt idx="1">
                  <c:v>San Francisco-Anaheim/                                   493miles</c:v>
                </c:pt>
                <c:pt idx="2">
                  <c:v>San Jose-San Diego/                                  546miles</c:v>
                </c:pt>
                <c:pt idx="3">
                  <c:v>Oakland-San Diego/                    594miles</c:v>
                </c:pt>
              </c:strCache>
            </c:strRef>
          </c:cat>
          <c:val>
            <c:numRef>
              <c:f>'RT Travel NonAdjacent Regions'!$AU$52:$AU$55</c:f>
              <c:numCache>
                <c:formatCode>#,##0</c:formatCode>
                <c:ptCount val="4"/>
                <c:pt idx="0">
                  <c:v>228.90000000000009</c:v>
                </c:pt>
                <c:pt idx="1">
                  <c:v>138.00000000000011</c:v>
                </c:pt>
                <c:pt idx="2">
                  <c:v>199.40000000000009</c:v>
                </c:pt>
                <c:pt idx="3">
                  <c:v>292.40000000000009</c:v>
                </c:pt>
              </c:numCache>
            </c:numRef>
          </c:val>
          <c:extLst>
            <c:ext xmlns:c16="http://schemas.microsoft.com/office/drawing/2014/chart" uri="{C3380CC4-5D6E-409C-BE32-E72D297353CC}">
              <c16:uniqueId val="{00000003-D228-274F-A49F-6CE0446956CD}"/>
            </c:ext>
          </c:extLst>
        </c:ser>
        <c:ser>
          <c:idx val="4"/>
          <c:order val="4"/>
          <c:tx>
            <c:strRef>
              <c:f>'RT Travel NonAdjacent Regions'!$AV$51</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009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Regions'!$AQ$52:$AQ$55</c:f>
              <c:strCache>
                <c:ptCount val="4"/>
                <c:pt idx="0">
                  <c:v>San Francisco-Long Beach/                                491miles</c:v>
                </c:pt>
                <c:pt idx="1">
                  <c:v>San Francisco-Anaheim/                                   493miles</c:v>
                </c:pt>
                <c:pt idx="2">
                  <c:v>San Jose-San Diego/                                  546miles</c:v>
                </c:pt>
                <c:pt idx="3">
                  <c:v>Oakland-San Diego/                    594miles</c:v>
                </c:pt>
              </c:strCache>
            </c:strRef>
          </c:cat>
          <c:val>
            <c:numRef>
              <c:f>'RT Travel NonAdjacent Regions'!$AV$52:$AV$55</c:f>
              <c:numCache>
                <c:formatCode>#,##0</c:formatCode>
                <c:ptCount val="4"/>
                <c:pt idx="0">
                  <c:v>642</c:v>
                </c:pt>
                <c:pt idx="1">
                  <c:v>554</c:v>
                </c:pt>
                <c:pt idx="2">
                  <c:v>770</c:v>
                </c:pt>
                <c:pt idx="3">
                  <c:v>720</c:v>
                </c:pt>
              </c:numCache>
            </c:numRef>
          </c:val>
          <c:extLst>
            <c:ext xmlns:c16="http://schemas.microsoft.com/office/drawing/2014/chart" uri="{C3380CC4-5D6E-409C-BE32-E72D297353CC}">
              <c16:uniqueId val="{00000004-D228-274F-A49F-6CE0446956CD}"/>
            </c:ext>
          </c:extLst>
        </c:ser>
        <c:dLbls>
          <c:showLegendKey val="0"/>
          <c:showVal val="0"/>
          <c:showCatName val="0"/>
          <c:showSerName val="0"/>
          <c:showPercent val="0"/>
          <c:showBubbleSize val="0"/>
        </c:dLbls>
        <c:gapWidth val="50"/>
        <c:axId val="1592215600"/>
        <c:axId val="1548387776"/>
      </c:barChart>
      <c:catAx>
        <c:axId val="159221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548387776"/>
        <c:crosses val="autoZero"/>
        <c:auto val="1"/>
        <c:lblAlgn val="ctr"/>
        <c:lblOffset val="100"/>
        <c:noMultiLvlLbl val="0"/>
      </c:catAx>
      <c:valAx>
        <c:axId val="1548387776"/>
        <c:scaling>
          <c:orientation val="minMax"/>
          <c:max val="1150"/>
          <c:min val="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592215600"/>
        <c:crosses val="autoZero"/>
        <c:crossBetween val="between"/>
      </c:valAx>
      <c:spPr>
        <a:noFill/>
        <a:ln>
          <a:noFill/>
        </a:ln>
        <a:effectLst/>
      </c:spPr>
    </c:plotArea>
    <c:legend>
      <c:legendPos val="b"/>
      <c:layout>
        <c:manualLayout>
          <c:xMode val="edge"/>
          <c:yMode val="edge"/>
          <c:x val="4.0288443302005943E-4"/>
          <c:y val="4.1566108209961865E-2"/>
          <c:w val="0.79956709292894235"/>
          <c:h val="0.2755004569571464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20253718285211E-2"/>
          <c:y val="5.0925925925925923E-2"/>
          <c:w val="0.9547797462817148"/>
          <c:h val="0.85666666666666669"/>
        </c:manualLayout>
      </c:layout>
      <c:barChart>
        <c:barDir val="col"/>
        <c:grouping val="clustered"/>
        <c:varyColors val="0"/>
        <c:ser>
          <c:idx val="0"/>
          <c:order val="0"/>
          <c:tx>
            <c:strRef>
              <c:f>'RT Travel NonAdjacent Regions'!$AR$72</c:f>
              <c:strCache>
                <c:ptCount val="1"/>
                <c:pt idx="0">
                  <c:v>SV-CV Period: Cost of Driving Alone Round-Trip @ 23¢/mile, the Authority's metric for fully-loaded auto costs</c:v>
                </c:pt>
              </c:strCache>
            </c:strRef>
          </c:tx>
          <c:spPr>
            <a:pattFill prst="pct2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Regions'!$AQ$73:$AQ$76</c:f>
              <c:strCache>
                <c:ptCount val="4"/>
                <c:pt idx="0">
                  <c:v>Oakland-Burbank (BUR)/                           470miles</c:v>
                </c:pt>
                <c:pt idx="1">
                  <c:v>Oakland-Los Angeles/                                          476miles</c:v>
                </c:pt>
                <c:pt idx="2">
                  <c:v>Oakland-OC Gateway (Norwalk)/                   490miles</c:v>
                </c:pt>
                <c:pt idx="3">
                  <c:v>Oakland-Anaheim/                                        503miles</c:v>
                </c:pt>
              </c:strCache>
            </c:strRef>
          </c:cat>
          <c:val>
            <c:numRef>
              <c:f>'RT Travel NonAdjacent Regions'!$AR$73:$AR$76</c:f>
              <c:numCache>
                <c:formatCode>"$"#,##0</c:formatCode>
                <c:ptCount val="4"/>
                <c:pt idx="0">
                  <c:v>164.22</c:v>
                </c:pt>
                <c:pt idx="1">
                  <c:v>171.12</c:v>
                </c:pt>
                <c:pt idx="2">
                  <c:v>177.1</c:v>
                </c:pt>
                <c:pt idx="3">
                  <c:v>184.46</c:v>
                </c:pt>
              </c:numCache>
            </c:numRef>
          </c:val>
          <c:extLst>
            <c:ext xmlns:c16="http://schemas.microsoft.com/office/drawing/2014/chart" uri="{C3380CC4-5D6E-409C-BE32-E72D297353CC}">
              <c16:uniqueId val="{00000000-B001-6E4C-82EF-C824D8722290}"/>
            </c:ext>
          </c:extLst>
        </c:ser>
        <c:ser>
          <c:idx val="1"/>
          <c:order val="1"/>
          <c:tx>
            <c:strRef>
              <c:f>'RT Travel NonAdjacent Regions'!$AS$72</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Regions'!$AQ$73:$AQ$76</c:f>
              <c:strCache>
                <c:ptCount val="4"/>
                <c:pt idx="0">
                  <c:v>Oakland-Burbank (BUR)/                           470miles</c:v>
                </c:pt>
                <c:pt idx="1">
                  <c:v>Oakland-Los Angeles/                                          476miles</c:v>
                </c:pt>
                <c:pt idx="2">
                  <c:v>Oakland-OC Gateway (Norwalk)/                   490miles</c:v>
                </c:pt>
                <c:pt idx="3">
                  <c:v>Oakland-Anaheim/                                        503miles</c:v>
                </c:pt>
              </c:strCache>
            </c:strRef>
          </c:cat>
          <c:val>
            <c:numRef>
              <c:f>'RT Travel NonAdjacent Regions'!$AS$73:$AS$76</c:f>
              <c:numCache>
                <c:formatCode>"$"#,##0</c:formatCode>
                <c:ptCount val="4"/>
                <c:pt idx="0">
                  <c:v>241.9</c:v>
                </c:pt>
                <c:pt idx="1">
                  <c:v>241.9</c:v>
                </c:pt>
                <c:pt idx="2">
                  <c:v>254.9</c:v>
                </c:pt>
                <c:pt idx="3">
                  <c:v>259.39999999999998</c:v>
                </c:pt>
              </c:numCache>
            </c:numRef>
          </c:val>
          <c:extLst>
            <c:ext xmlns:c16="http://schemas.microsoft.com/office/drawing/2014/chart" uri="{C3380CC4-5D6E-409C-BE32-E72D297353CC}">
              <c16:uniqueId val="{00000001-B001-6E4C-82EF-C824D8722290}"/>
            </c:ext>
          </c:extLst>
        </c:ser>
        <c:ser>
          <c:idx val="2"/>
          <c:order val="2"/>
          <c:tx>
            <c:strRef>
              <c:f>'RT Travel NonAdjacent Regions'!$AT$72</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Regions'!$AQ$73:$AQ$76</c:f>
              <c:strCache>
                <c:ptCount val="4"/>
                <c:pt idx="0">
                  <c:v>Oakland-Burbank (BUR)/                           470miles</c:v>
                </c:pt>
                <c:pt idx="1">
                  <c:v>Oakland-Los Angeles/                                          476miles</c:v>
                </c:pt>
                <c:pt idx="2">
                  <c:v>Oakland-OC Gateway (Norwalk)/                   490miles</c:v>
                </c:pt>
                <c:pt idx="3">
                  <c:v>Oakland-Anaheim/                                        503miles</c:v>
                </c:pt>
              </c:strCache>
            </c:strRef>
          </c:cat>
          <c:val>
            <c:numRef>
              <c:f>'RT Travel NonAdjacent Regions'!$AT$73:$AT$76</c:f>
              <c:numCache>
                <c:formatCode>"$"#,##0</c:formatCode>
                <c:ptCount val="4"/>
                <c:pt idx="0">
                  <c:v>321</c:v>
                </c:pt>
                <c:pt idx="1">
                  <c:v>106</c:v>
                </c:pt>
                <c:pt idx="2">
                  <c:v>121</c:v>
                </c:pt>
                <c:pt idx="3">
                  <c:v>121</c:v>
                </c:pt>
              </c:numCache>
            </c:numRef>
          </c:val>
          <c:extLst>
            <c:ext xmlns:c16="http://schemas.microsoft.com/office/drawing/2014/chart" uri="{C3380CC4-5D6E-409C-BE32-E72D297353CC}">
              <c16:uniqueId val="{00000002-B001-6E4C-82EF-C824D8722290}"/>
            </c:ext>
          </c:extLst>
        </c:ser>
        <c:ser>
          <c:idx val="3"/>
          <c:order val="3"/>
          <c:tx>
            <c:strRef>
              <c:f>'RT Travel NonAdjacent Regions'!$AU$72</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Regions'!$AQ$73:$AQ$76</c:f>
              <c:strCache>
                <c:ptCount val="4"/>
                <c:pt idx="0">
                  <c:v>Oakland-Burbank (BUR)/                           470miles</c:v>
                </c:pt>
                <c:pt idx="1">
                  <c:v>Oakland-Los Angeles/                                          476miles</c:v>
                </c:pt>
                <c:pt idx="2">
                  <c:v>Oakland-OC Gateway (Norwalk)/                   490miles</c:v>
                </c:pt>
                <c:pt idx="3">
                  <c:v>Oakland-Anaheim/                                        503miles</c:v>
                </c:pt>
              </c:strCache>
            </c:strRef>
          </c:cat>
          <c:val>
            <c:numRef>
              <c:f>'RT Travel NonAdjacent Regions'!$AU$73:$AU$76</c:f>
              <c:numCache>
                <c:formatCode>#,##0</c:formatCode>
                <c:ptCount val="4"/>
                <c:pt idx="0">
                  <c:v>140</c:v>
                </c:pt>
                <c:pt idx="1">
                  <c:v>156.90000000000009</c:v>
                </c:pt>
                <c:pt idx="2">
                  <c:v>172.90000000000009</c:v>
                </c:pt>
                <c:pt idx="3">
                  <c:v>172.90000000000009</c:v>
                </c:pt>
              </c:numCache>
            </c:numRef>
          </c:val>
          <c:extLst>
            <c:ext xmlns:c16="http://schemas.microsoft.com/office/drawing/2014/chart" uri="{C3380CC4-5D6E-409C-BE32-E72D297353CC}">
              <c16:uniqueId val="{00000003-B001-6E4C-82EF-C824D8722290}"/>
            </c:ext>
          </c:extLst>
        </c:ser>
        <c:ser>
          <c:idx val="4"/>
          <c:order val="4"/>
          <c:tx>
            <c:strRef>
              <c:f>'RT Travel NonAdjacent Regions'!$AV$72</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Regions'!$AQ$73:$AQ$76</c:f>
              <c:strCache>
                <c:ptCount val="4"/>
                <c:pt idx="0">
                  <c:v>Oakland-Burbank (BUR)/                           470miles</c:v>
                </c:pt>
                <c:pt idx="1">
                  <c:v>Oakland-Los Angeles/                                          476miles</c:v>
                </c:pt>
                <c:pt idx="2">
                  <c:v>Oakland-OC Gateway (Norwalk)/                   490miles</c:v>
                </c:pt>
                <c:pt idx="3">
                  <c:v>Oakland-Anaheim/                                        503miles</c:v>
                </c:pt>
              </c:strCache>
            </c:strRef>
          </c:cat>
          <c:val>
            <c:numRef>
              <c:f>'RT Travel NonAdjacent Regions'!$AV$73:$AV$76</c:f>
              <c:numCache>
                <c:formatCode>#,##0</c:formatCode>
                <c:ptCount val="4"/>
                <c:pt idx="0">
                  <c:v>484</c:v>
                </c:pt>
                <c:pt idx="1">
                  <c:v>520</c:v>
                </c:pt>
                <c:pt idx="2">
                  <c:v>628</c:v>
                </c:pt>
                <c:pt idx="3">
                  <c:v>628</c:v>
                </c:pt>
              </c:numCache>
            </c:numRef>
          </c:val>
          <c:extLst>
            <c:ext xmlns:c16="http://schemas.microsoft.com/office/drawing/2014/chart" uri="{C3380CC4-5D6E-409C-BE32-E72D297353CC}">
              <c16:uniqueId val="{00000004-B001-6E4C-82EF-C824D8722290}"/>
            </c:ext>
          </c:extLst>
        </c:ser>
        <c:dLbls>
          <c:showLegendKey val="0"/>
          <c:showVal val="0"/>
          <c:showCatName val="0"/>
          <c:showSerName val="0"/>
          <c:showPercent val="0"/>
          <c:showBubbleSize val="0"/>
        </c:dLbls>
        <c:gapWidth val="50"/>
        <c:axId val="1604110752"/>
        <c:axId val="1604112480"/>
      </c:barChart>
      <c:catAx>
        <c:axId val="160411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604112480"/>
        <c:crosses val="autoZero"/>
        <c:auto val="1"/>
        <c:lblAlgn val="ctr"/>
        <c:lblOffset val="100"/>
        <c:noMultiLvlLbl val="0"/>
      </c:catAx>
      <c:valAx>
        <c:axId val="1604112480"/>
        <c:scaling>
          <c:orientation val="minMax"/>
          <c:max val="9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1604110752"/>
        <c:crosses val="autoZero"/>
        <c:crossBetween val="between"/>
      </c:valAx>
      <c:spPr>
        <a:noFill/>
        <a:ln>
          <a:noFill/>
        </a:ln>
        <a:effectLst/>
      </c:spPr>
    </c:plotArea>
    <c:legend>
      <c:legendPos val="b"/>
      <c:layout>
        <c:manualLayout>
          <c:xMode val="edge"/>
          <c:yMode val="edge"/>
          <c:x val="4.0284158892444103E-4"/>
          <c:y val="1.8509277234621573E-2"/>
          <c:w val="0.82676955617294234"/>
          <c:h val="0.26412752346023161"/>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628284122683967E-2"/>
          <c:y val="4.061731338423339E-2"/>
          <c:w val="0.96037171587731607"/>
          <c:h val="0.93429157271573615"/>
        </c:manualLayout>
      </c:layout>
      <c:barChart>
        <c:barDir val="col"/>
        <c:grouping val="clustered"/>
        <c:varyColors val="0"/>
        <c:ser>
          <c:idx val="0"/>
          <c:order val="0"/>
          <c:tx>
            <c:strRef>
              <c:f>'RT Travel NonAdjacent Regions'!$AR$83</c:f>
              <c:strCache>
                <c:ptCount val="1"/>
                <c:pt idx="0">
                  <c:v>SV-CV Period: Cost of Driving Alone Round-Trip @ 23¢/mile, the Authority's metric for fully-loaded auto costs</c:v>
                </c:pt>
              </c:strCache>
            </c:strRef>
          </c:tx>
          <c:spPr>
            <a:pattFill prst="pct25">
              <a:fgClr>
                <a:schemeClr val="accent1">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Regions'!$AQ$84:$AQ$87</c:f>
              <c:strCache>
                <c:ptCount val="4"/>
                <c:pt idx="0">
                  <c:v>Sacramento-Burbank (BUR)/                     437miles</c:v>
                </c:pt>
                <c:pt idx="1">
                  <c:v>Sacramento-Los Angeles/                                                  440miles</c:v>
                </c:pt>
                <c:pt idx="2">
                  <c:v>Sacramento-OC Gateway/                                                  460miles</c:v>
                </c:pt>
                <c:pt idx="3">
                  <c:v>Sacramento-Anaheim/                                         470miles</c:v>
                </c:pt>
              </c:strCache>
            </c:strRef>
          </c:cat>
          <c:val>
            <c:numRef>
              <c:f>'RT Travel NonAdjacent Regions'!$AR$84:$AR$87</c:f>
              <c:numCache>
                <c:formatCode>"$"#,##0</c:formatCode>
                <c:ptCount val="4"/>
                <c:pt idx="0">
                  <c:v>171.12</c:v>
                </c:pt>
                <c:pt idx="1">
                  <c:v>177.56</c:v>
                </c:pt>
                <c:pt idx="2">
                  <c:v>186.76000000000002</c:v>
                </c:pt>
                <c:pt idx="3">
                  <c:v>190.9</c:v>
                </c:pt>
              </c:numCache>
            </c:numRef>
          </c:val>
          <c:extLst>
            <c:ext xmlns:c16="http://schemas.microsoft.com/office/drawing/2014/chart" uri="{C3380CC4-5D6E-409C-BE32-E72D297353CC}">
              <c16:uniqueId val="{00000000-ECDA-B245-A6A2-EE2BD7C5D71C}"/>
            </c:ext>
          </c:extLst>
        </c:ser>
        <c:ser>
          <c:idx val="1"/>
          <c:order val="1"/>
          <c:tx>
            <c:strRef>
              <c:f>'RT Travel NonAdjacent Regions'!$AS$83</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Regions'!$AQ$84:$AQ$87</c:f>
              <c:strCache>
                <c:ptCount val="4"/>
                <c:pt idx="0">
                  <c:v>Sacramento-Burbank (BUR)/                     437miles</c:v>
                </c:pt>
                <c:pt idx="1">
                  <c:v>Sacramento-Los Angeles/                                                  440miles</c:v>
                </c:pt>
                <c:pt idx="2">
                  <c:v>Sacramento-OC Gateway/                                                  460miles</c:v>
                </c:pt>
                <c:pt idx="3">
                  <c:v>Sacramento-Anaheim/                                         470miles</c:v>
                </c:pt>
              </c:strCache>
            </c:strRef>
          </c:cat>
          <c:val>
            <c:numRef>
              <c:f>'RT Travel NonAdjacent Regions'!$AS$84:$AS$87</c:f>
              <c:numCache>
                <c:formatCode>"$"#,##0</c:formatCode>
                <c:ptCount val="4"/>
                <c:pt idx="0">
                  <c:v>197</c:v>
                </c:pt>
                <c:pt idx="1">
                  <c:v>197</c:v>
                </c:pt>
                <c:pt idx="2">
                  <c:v>210</c:v>
                </c:pt>
                <c:pt idx="3">
                  <c:v>214.5</c:v>
                </c:pt>
              </c:numCache>
            </c:numRef>
          </c:val>
          <c:extLst>
            <c:ext xmlns:c16="http://schemas.microsoft.com/office/drawing/2014/chart" uri="{C3380CC4-5D6E-409C-BE32-E72D297353CC}">
              <c16:uniqueId val="{00000001-ECDA-B245-A6A2-EE2BD7C5D71C}"/>
            </c:ext>
          </c:extLst>
        </c:ser>
        <c:ser>
          <c:idx val="2"/>
          <c:order val="2"/>
          <c:tx>
            <c:strRef>
              <c:f>'RT Travel NonAdjacent Regions'!$AT$83</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Regions'!$AQ$84:$AQ$87</c:f>
              <c:strCache>
                <c:ptCount val="4"/>
                <c:pt idx="0">
                  <c:v>Sacramento-Burbank (BUR)/                     437miles</c:v>
                </c:pt>
                <c:pt idx="1">
                  <c:v>Sacramento-Los Angeles/                                                  440miles</c:v>
                </c:pt>
                <c:pt idx="2">
                  <c:v>Sacramento-OC Gateway/                                                  460miles</c:v>
                </c:pt>
                <c:pt idx="3">
                  <c:v>Sacramento-Anaheim/                                         470miles</c:v>
                </c:pt>
              </c:strCache>
            </c:strRef>
          </c:cat>
          <c:val>
            <c:numRef>
              <c:f>'RT Travel NonAdjacent Regions'!$AT$84:$AT$87</c:f>
              <c:numCache>
                <c:formatCode>"$"#,##0</c:formatCode>
                <c:ptCount val="4"/>
                <c:pt idx="0">
                  <c:v>204</c:v>
                </c:pt>
                <c:pt idx="1">
                  <c:v>177</c:v>
                </c:pt>
                <c:pt idx="2">
                  <c:v>192</c:v>
                </c:pt>
                <c:pt idx="3">
                  <c:v>192</c:v>
                </c:pt>
              </c:numCache>
            </c:numRef>
          </c:val>
          <c:extLst>
            <c:ext xmlns:c16="http://schemas.microsoft.com/office/drawing/2014/chart" uri="{C3380CC4-5D6E-409C-BE32-E72D297353CC}">
              <c16:uniqueId val="{00000002-ECDA-B245-A6A2-EE2BD7C5D71C}"/>
            </c:ext>
          </c:extLst>
        </c:ser>
        <c:ser>
          <c:idx val="3"/>
          <c:order val="3"/>
          <c:tx>
            <c:strRef>
              <c:f>'RT Travel NonAdjacent Regions'!$AU$83</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Regions'!$AQ$84:$AQ$87</c:f>
              <c:strCache>
                <c:ptCount val="4"/>
                <c:pt idx="0">
                  <c:v>Sacramento-Burbank (BUR)/                     437miles</c:v>
                </c:pt>
                <c:pt idx="1">
                  <c:v>Sacramento-Los Angeles/                                                  440miles</c:v>
                </c:pt>
                <c:pt idx="2">
                  <c:v>Sacramento-OC Gateway/                                                  460miles</c:v>
                </c:pt>
                <c:pt idx="3">
                  <c:v>Sacramento-Anaheim/                                         470miles</c:v>
                </c:pt>
              </c:strCache>
            </c:strRef>
          </c:cat>
          <c:val>
            <c:numRef>
              <c:f>'RT Travel NonAdjacent Regions'!$AU$84:$AU$87</c:f>
              <c:numCache>
                <c:formatCode>#,##0</c:formatCode>
                <c:ptCount val="4"/>
                <c:pt idx="0">
                  <c:v>325.90000000000009</c:v>
                </c:pt>
                <c:pt idx="1">
                  <c:v>338.20000000000005</c:v>
                </c:pt>
                <c:pt idx="2">
                  <c:v>436.20000000000005</c:v>
                </c:pt>
                <c:pt idx="3">
                  <c:v>397.50000000000011</c:v>
                </c:pt>
              </c:numCache>
            </c:numRef>
          </c:val>
          <c:extLst>
            <c:ext xmlns:c16="http://schemas.microsoft.com/office/drawing/2014/chart" uri="{C3380CC4-5D6E-409C-BE32-E72D297353CC}">
              <c16:uniqueId val="{00000003-ECDA-B245-A6A2-EE2BD7C5D71C}"/>
            </c:ext>
          </c:extLst>
        </c:ser>
        <c:ser>
          <c:idx val="4"/>
          <c:order val="4"/>
          <c:tx>
            <c:strRef>
              <c:f>'RT Travel NonAdjacent Regions'!$AV$83</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Regions'!$AQ$84:$AQ$87</c:f>
              <c:strCache>
                <c:ptCount val="4"/>
                <c:pt idx="0">
                  <c:v>Sacramento-Burbank (BUR)/                     437miles</c:v>
                </c:pt>
                <c:pt idx="1">
                  <c:v>Sacramento-Los Angeles/                                                  440miles</c:v>
                </c:pt>
                <c:pt idx="2">
                  <c:v>Sacramento-OC Gateway/                                                  460miles</c:v>
                </c:pt>
                <c:pt idx="3">
                  <c:v>Sacramento-Anaheim/                                         470miles</c:v>
                </c:pt>
              </c:strCache>
            </c:strRef>
          </c:cat>
          <c:val>
            <c:numRef>
              <c:f>'RT Travel NonAdjacent Regions'!$AV$84:$AV$87</c:f>
              <c:numCache>
                <c:formatCode>#,##0</c:formatCode>
                <c:ptCount val="4"/>
                <c:pt idx="0">
                  <c:v>320</c:v>
                </c:pt>
                <c:pt idx="1">
                  <c:v>710</c:v>
                </c:pt>
                <c:pt idx="2">
                  <c:v>808</c:v>
                </c:pt>
                <c:pt idx="3">
                  <c:v>836</c:v>
                </c:pt>
              </c:numCache>
            </c:numRef>
          </c:val>
          <c:extLst>
            <c:ext xmlns:c16="http://schemas.microsoft.com/office/drawing/2014/chart" uri="{C3380CC4-5D6E-409C-BE32-E72D297353CC}">
              <c16:uniqueId val="{00000004-ECDA-B245-A6A2-EE2BD7C5D71C}"/>
            </c:ext>
          </c:extLst>
        </c:ser>
        <c:dLbls>
          <c:showLegendKey val="0"/>
          <c:showVal val="0"/>
          <c:showCatName val="0"/>
          <c:showSerName val="0"/>
          <c:showPercent val="0"/>
          <c:showBubbleSize val="0"/>
        </c:dLbls>
        <c:gapWidth val="50"/>
        <c:axId val="1499379712"/>
        <c:axId val="1548145088"/>
      </c:barChart>
      <c:catAx>
        <c:axId val="149937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548145088"/>
        <c:crosses val="autoZero"/>
        <c:auto val="1"/>
        <c:lblAlgn val="ctr"/>
        <c:lblOffset val="100"/>
        <c:noMultiLvlLbl val="0"/>
      </c:catAx>
      <c:valAx>
        <c:axId val="1548145088"/>
        <c:scaling>
          <c:orientation val="minMax"/>
          <c:max val="12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499379712"/>
        <c:crosses val="autoZero"/>
        <c:crossBetween val="between"/>
      </c:valAx>
      <c:spPr>
        <a:noFill/>
        <a:ln>
          <a:noFill/>
        </a:ln>
        <a:effectLst/>
      </c:spPr>
    </c:plotArea>
    <c:legend>
      <c:legendPos val="b"/>
      <c:layout>
        <c:manualLayout>
          <c:xMode val="edge"/>
          <c:yMode val="edge"/>
          <c:x val="0"/>
          <c:y val="4.5533802378695698E-2"/>
          <c:w val="0.81143793797374253"/>
          <c:h val="0.2116383263053469"/>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635793807781618E-2"/>
          <c:y val="3.8957500629538712E-2"/>
          <c:w val="0.9573642061922184"/>
          <c:h val="0.9261310572708723"/>
        </c:manualLayout>
      </c:layout>
      <c:barChart>
        <c:barDir val="col"/>
        <c:grouping val="clustered"/>
        <c:varyColors val="0"/>
        <c:ser>
          <c:idx val="0"/>
          <c:order val="0"/>
          <c:tx>
            <c:strRef>
              <c:f>'RT Travel NonAdjacent Regions'!$AR$94</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9A-CF4B-9288-B41AA49FE0AA}"/>
                </c:ext>
              </c:extLst>
            </c:dLbl>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9A-CF4B-9288-B41AA49FE0AA}"/>
                </c:ext>
              </c:extLst>
            </c:dLbl>
            <c:dLbl>
              <c:idx val="2"/>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9A-CF4B-9288-B41AA49FE0AA}"/>
                </c:ext>
              </c:extLst>
            </c:dLbl>
            <c:dLbl>
              <c:idx val="3"/>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9A-CF4B-9288-B41AA49FE0AA}"/>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Regions'!$AQ$95:$AQ$98</c:f>
              <c:strCache>
                <c:ptCount val="4"/>
                <c:pt idx="0">
                  <c:v>San Diego-Bakersfield/                                                 283miles</c:v>
                </c:pt>
                <c:pt idx="1">
                  <c:v>San Diego-KT Hanford/                                                       322miles</c:v>
                </c:pt>
                <c:pt idx="2">
                  <c:v>San Diego-Fresno/                                                   390miles</c:v>
                </c:pt>
                <c:pt idx="3">
                  <c:v>San Diego-Sacramento/                                                              563miles</c:v>
                </c:pt>
              </c:strCache>
            </c:strRef>
          </c:cat>
          <c:val>
            <c:numRef>
              <c:f>'RT Travel NonAdjacent Regions'!$AR$95:$AR$98</c:f>
              <c:numCache>
                <c:formatCode>"$"#,##0</c:formatCode>
                <c:ptCount val="4"/>
                <c:pt idx="0">
                  <c:v>106.72</c:v>
                </c:pt>
                <c:pt idx="1">
                  <c:v>155.02000000000001</c:v>
                </c:pt>
                <c:pt idx="2">
                  <c:v>156.4</c:v>
                </c:pt>
                <c:pt idx="3">
                  <c:v>231.84</c:v>
                </c:pt>
              </c:numCache>
            </c:numRef>
          </c:val>
          <c:extLst>
            <c:ext xmlns:c16="http://schemas.microsoft.com/office/drawing/2014/chart" uri="{C3380CC4-5D6E-409C-BE32-E72D297353CC}">
              <c16:uniqueId val="{00000000-789A-CF4B-9288-B41AA49FE0AA}"/>
            </c:ext>
          </c:extLst>
        </c:ser>
        <c:ser>
          <c:idx val="1"/>
          <c:order val="1"/>
          <c:tx>
            <c:strRef>
              <c:f>'RT Travel NonAdjacent Regions'!$AS$94</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Regions'!$AQ$95:$AQ$98</c:f>
              <c:strCache>
                <c:ptCount val="4"/>
                <c:pt idx="0">
                  <c:v>San Diego-Bakersfield/                                                 283miles</c:v>
                </c:pt>
                <c:pt idx="1">
                  <c:v>San Diego-KT Hanford/                                                       322miles</c:v>
                </c:pt>
                <c:pt idx="2">
                  <c:v>San Diego-Fresno/                                                   390miles</c:v>
                </c:pt>
                <c:pt idx="3">
                  <c:v>San Diego-Sacramento/                                                              563miles</c:v>
                </c:pt>
              </c:strCache>
            </c:strRef>
          </c:cat>
          <c:val>
            <c:numRef>
              <c:f>'RT Travel NonAdjacent Regions'!$AS$95:$AS$98</c:f>
              <c:numCache>
                <c:formatCode>"$"#,##0</c:formatCode>
                <c:ptCount val="4"/>
                <c:pt idx="0">
                  <c:v>120.3</c:v>
                </c:pt>
                <c:pt idx="1">
                  <c:v>228.3</c:v>
                </c:pt>
                <c:pt idx="2">
                  <c:v>238.3</c:v>
                </c:pt>
                <c:pt idx="3">
                  <c:v>268.3</c:v>
                </c:pt>
              </c:numCache>
            </c:numRef>
          </c:val>
          <c:extLst>
            <c:ext xmlns:c16="http://schemas.microsoft.com/office/drawing/2014/chart" uri="{C3380CC4-5D6E-409C-BE32-E72D297353CC}">
              <c16:uniqueId val="{00000001-789A-CF4B-9288-B41AA49FE0AA}"/>
            </c:ext>
          </c:extLst>
        </c:ser>
        <c:ser>
          <c:idx val="2"/>
          <c:order val="2"/>
          <c:tx>
            <c:strRef>
              <c:f>'RT Travel NonAdjacent Regions'!$AT$94</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Regions'!$AQ$95:$AQ$98</c:f>
              <c:strCache>
                <c:ptCount val="4"/>
                <c:pt idx="0">
                  <c:v>San Diego-Bakersfield/                                                 283miles</c:v>
                </c:pt>
                <c:pt idx="1">
                  <c:v>San Diego-KT Hanford/                                                       322miles</c:v>
                </c:pt>
                <c:pt idx="2">
                  <c:v>San Diego-Fresno/                                                   390miles</c:v>
                </c:pt>
                <c:pt idx="3">
                  <c:v>San Diego-Sacramento/                                                              563miles</c:v>
                </c:pt>
              </c:strCache>
            </c:strRef>
          </c:cat>
          <c:val>
            <c:numRef>
              <c:f>'RT Travel NonAdjacent Regions'!$AT$95:$AT$98</c:f>
              <c:numCache>
                <c:formatCode>"$"#,##0</c:formatCode>
                <c:ptCount val="4"/>
                <c:pt idx="0">
                  <c:v>675</c:v>
                </c:pt>
                <c:pt idx="1">
                  <c:v>287</c:v>
                </c:pt>
                <c:pt idx="2">
                  <c:v>272</c:v>
                </c:pt>
                <c:pt idx="3">
                  <c:v>219</c:v>
                </c:pt>
              </c:numCache>
            </c:numRef>
          </c:val>
          <c:extLst>
            <c:ext xmlns:c16="http://schemas.microsoft.com/office/drawing/2014/chart" uri="{C3380CC4-5D6E-409C-BE32-E72D297353CC}">
              <c16:uniqueId val="{00000002-789A-CF4B-9288-B41AA49FE0AA}"/>
            </c:ext>
          </c:extLst>
        </c:ser>
        <c:ser>
          <c:idx val="3"/>
          <c:order val="3"/>
          <c:tx>
            <c:strRef>
              <c:f>'RT Travel NonAdjacent Regions'!$AU$94</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Regions'!$AQ$95:$AQ$98</c:f>
              <c:strCache>
                <c:ptCount val="4"/>
                <c:pt idx="0">
                  <c:v>San Diego-Bakersfield/                                                 283miles</c:v>
                </c:pt>
                <c:pt idx="1">
                  <c:v>San Diego-KT Hanford/                                                       322miles</c:v>
                </c:pt>
                <c:pt idx="2">
                  <c:v>San Diego-Fresno/                                                   390miles</c:v>
                </c:pt>
                <c:pt idx="3">
                  <c:v>San Diego-Sacramento/                                                              563miles</c:v>
                </c:pt>
              </c:strCache>
            </c:strRef>
          </c:cat>
          <c:val>
            <c:numRef>
              <c:f>'RT Travel NonAdjacent Regions'!$AU$95:$AU$98</c:f>
              <c:numCache>
                <c:formatCode>#,##0</c:formatCode>
                <c:ptCount val="4"/>
                <c:pt idx="0">
                  <c:v>374.5</c:v>
                </c:pt>
                <c:pt idx="1">
                  <c:v>292.40000000000009</c:v>
                </c:pt>
                <c:pt idx="2">
                  <c:v>295</c:v>
                </c:pt>
                <c:pt idx="3">
                  <c:v>501.40000000000009</c:v>
                </c:pt>
              </c:numCache>
            </c:numRef>
          </c:val>
          <c:extLst>
            <c:ext xmlns:c16="http://schemas.microsoft.com/office/drawing/2014/chart" uri="{C3380CC4-5D6E-409C-BE32-E72D297353CC}">
              <c16:uniqueId val="{00000003-789A-CF4B-9288-B41AA49FE0AA}"/>
            </c:ext>
          </c:extLst>
        </c:ser>
        <c:ser>
          <c:idx val="4"/>
          <c:order val="4"/>
          <c:tx>
            <c:strRef>
              <c:f>'RT Travel NonAdjacent Regions'!$AV$94</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Regions'!$AQ$95:$AQ$98</c:f>
              <c:strCache>
                <c:ptCount val="4"/>
                <c:pt idx="0">
                  <c:v>San Diego-Bakersfield/                                                 283miles</c:v>
                </c:pt>
                <c:pt idx="1">
                  <c:v>San Diego-KT Hanford/                                                       322miles</c:v>
                </c:pt>
                <c:pt idx="2">
                  <c:v>San Diego-Fresno/                                                   390miles</c:v>
                </c:pt>
                <c:pt idx="3">
                  <c:v>San Diego-Sacramento/                                                              563miles</c:v>
                </c:pt>
              </c:strCache>
            </c:strRef>
          </c:cat>
          <c:val>
            <c:numRef>
              <c:f>'RT Travel NonAdjacent Regions'!$AV$95:$AV$98</c:f>
              <c:numCache>
                <c:formatCode>#,##0</c:formatCode>
                <c:ptCount val="4"/>
                <c:pt idx="0">
                  <c:v>48</c:v>
                </c:pt>
                <c:pt idx="1">
                  <c:v>342</c:v>
                </c:pt>
                <c:pt idx="2">
                  <c:v>386</c:v>
                </c:pt>
                <c:pt idx="3">
                  <c:v>1126</c:v>
                </c:pt>
              </c:numCache>
            </c:numRef>
          </c:val>
          <c:extLst>
            <c:ext xmlns:c16="http://schemas.microsoft.com/office/drawing/2014/chart" uri="{C3380CC4-5D6E-409C-BE32-E72D297353CC}">
              <c16:uniqueId val="{00000004-789A-CF4B-9288-B41AA49FE0AA}"/>
            </c:ext>
          </c:extLst>
        </c:ser>
        <c:dLbls>
          <c:showLegendKey val="0"/>
          <c:showVal val="0"/>
          <c:showCatName val="0"/>
          <c:showSerName val="0"/>
          <c:showPercent val="0"/>
          <c:showBubbleSize val="0"/>
        </c:dLbls>
        <c:gapWidth val="50"/>
        <c:axId val="1587795072"/>
        <c:axId val="1535652832"/>
      </c:barChart>
      <c:catAx>
        <c:axId val="158779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535652832"/>
        <c:crosses val="autoZero"/>
        <c:auto val="1"/>
        <c:lblAlgn val="ctr"/>
        <c:lblOffset val="100"/>
        <c:noMultiLvlLbl val="0"/>
      </c:catAx>
      <c:valAx>
        <c:axId val="1535652832"/>
        <c:scaling>
          <c:orientation val="minMax"/>
          <c:max val="12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587795072"/>
        <c:crosses val="autoZero"/>
        <c:crossBetween val="between"/>
      </c:valAx>
      <c:spPr>
        <a:noFill/>
        <a:ln>
          <a:solidFill>
            <a:schemeClr val="bg1">
              <a:lumMod val="65000"/>
            </a:schemeClr>
          </a:solidFill>
        </a:ln>
        <a:effectLst/>
      </c:spPr>
    </c:plotArea>
    <c:legend>
      <c:legendPos val="b"/>
      <c:layout>
        <c:manualLayout>
          <c:xMode val="edge"/>
          <c:yMode val="edge"/>
          <c:x val="0"/>
          <c:y val="0.13274114810006488"/>
          <c:w val="0.93206857558729694"/>
          <c:h val="0.25413982703092813"/>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83027367189627E-2"/>
          <c:y val="3.9135204427516668E-2"/>
          <c:w val="0.95716972632810371"/>
          <c:h val="0.88985218826582579"/>
        </c:manualLayout>
      </c:layout>
      <c:barChart>
        <c:barDir val="col"/>
        <c:grouping val="clustered"/>
        <c:varyColors val="0"/>
        <c:ser>
          <c:idx val="0"/>
          <c:order val="0"/>
          <c:tx>
            <c:strRef>
              <c:f>'RT Travel NonAdjacent Regions'!$AR$105</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Regions'!$AQ$106:$AQ$109</c:f>
              <c:strCache>
                <c:ptCount val="4"/>
                <c:pt idx="0">
                  <c:v>San Diego-Madera/                                   413miles</c:v>
                </c:pt>
                <c:pt idx="1">
                  <c:v>San Diego-Merced/                                               446miles</c:v>
                </c:pt>
                <c:pt idx="2">
                  <c:v>San Diego-Gilroy/                                          520miles</c:v>
                </c:pt>
                <c:pt idx="3">
                  <c:v>San Diego-San Francisco/                                                            598miles</c:v>
                </c:pt>
              </c:strCache>
            </c:strRef>
          </c:cat>
          <c:val>
            <c:numRef>
              <c:f>'RT Travel NonAdjacent Regions'!$AR$106:$AR$109</c:f>
              <c:numCache>
                <c:formatCode>"$"#,##0</c:formatCode>
                <c:ptCount val="4"/>
                <c:pt idx="0">
                  <c:v>167.44</c:v>
                </c:pt>
                <c:pt idx="1">
                  <c:v>190.9</c:v>
                </c:pt>
                <c:pt idx="2">
                  <c:v>197.34</c:v>
                </c:pt>
                <c:pt idx="3">
                  <c:v>239.66</c:v>
                </c:pt>
              </c:numCache>
            </c:numRef>
          </c:val>
          <c:extLst>
            <c:ext xmlns:c16="http://schemas.microsoft.com/office/drawing/2014/chart" uri="{C3380CC4-5D6E-409C-BE32-E72D297353CC}">
              <c16:uniqueId val="{00000000-2B3B-784D-AFB0-DC53DF83B902}"/>
            </c:ext>
          </c:extLst>
        </c:ser>
        <c:ser>
          <c:idx val="1"/>
          <c:order val="1"/>
          <c:tx>
            <c:strRef>
              <c:f>'RT Travel NonAdjacent Regions'!$AS$105</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Regions'!$AQ$106:$AQ$109</c:f>
              <c:strCache>
                <c:ptCount val="4"/>
                <c:pt idx="0">
                  <c:v>San Diego-Madera/                                   413miles</c:v>
                </c:pt>
                <c:pt idx="1">
                  <c:v>San Diego-Merced/                                               446miles</c:v>
                </c:pt>
                <c:pt idx="2">
                  <c:v>San Diego-Gilroy/                                          520miles</c:v>
                </c:pt>
                <c:pt idx="3">
                  <c:v>San Diego-San Francisco/                                                            598miles</c:v>
                </c:pt>
              </c:strCache>
            </c:strRef>
          </c:cat>
          <c:val>
            <c:numRef>
              <c:f>'RT Travel NonAdjacent Regions'!$AS$106:$AS$109</c:f>
              <c:numCache>
                <c:formatCode>"$"#,##0</c:formatCode>
                <c:ptCount val="4"/>
                <c:pt idx="0">
                  <c:v>248.3</c:v>
                </c:pt>
                <c:pt idx="1">
                  <c:v>250.3</c:v>
                </c:pt>
                <c:pt idx="2">
                  <c:v>284.3</c:v>
                </c:pt>
                <c:pt idx="3">
                  <c:v>306.3</c:v>
                </c:pt>
              </c:numCache>
            </c:numRef>
          </c:val>
          <c:extLst>
            <c:ext xmlns:c16="http://schemas.microsoft.com/office/drawing/2014/chart" uri="{C3380CC4-5D6E-409C-BE32-E72D297353CC}">
              <c16:uniqueId val="{00000001-2B3B-784D-AFB0-DC53DF83B902}"/>
            </c:ext>
          </c:extLst>
        </c:ser>
        <c:ser>
          <c:idx val="2"/>
          <c:order val="2"/>
          <c:tx>
            <c:strRef>
              <c:f>'RT Travel NonAdjacent Regions'!$AT$105</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Regions'!$AQ$106:$AQ$109</c:f>
              <c:strCache>
                <c:ptCount val="4"/>
                <c:pt idx="0">
                  <c:v>San Diego-Madera/                                   413miles</c:v>
                </c:pt>
                <c:pt idx="1">
                  <c:v>San Diego-Merced/                                               446miles</c:v>
                </c:pt>
                <c:pt idx="2">
                  <c:v>San Diego-Gilroy/                                          520miles</c:v>
                </c:pt>
                <c:pt idx="3">
                  <c:v>San Diego-San Francisco/                                                            598miles</c:v>
                </c:pt>
              </c:strCache>
            </c:strRef>
          </c:cat>
          <c:val>
            <c:numRef>
              <c:f>'RT Travel NonAdjacent Regions'!$AT$106:$AT$109</c:f>
              <c:numCache>
                <c:formatCode>"$"#,##0</c:formatCode>
                <c:ptCount val="4"/>
                <c:pt idx="0">
                  <c:v>287</c:v>
                </c:pt>
                <c:pt idx="1">
                  <c:v>303</c:v>
                </c:pt>
                <c:pt idx="2">
                  <c:v>270</c:v>
                </c:pt>
                <c:pt idx="3">
                  <c:v>221</c:v>
                </c:pt>
              </c:numCache>
            </c:numRef>
          </c:val>
          <c:extLst>
            <c:ext xmlns:c16="http://schemas.microsoft.com/office/drawing/2014/chart" uri="{C3380CC4-5D6E-409C-BE32-E72D297353CC}">
              <c16:uniqueId val="{00000002-2B3B-784D-AFB0-DC53DF83B902}"/>
            </c:ext>
          </c:extLst>
        </c:ser>
        <c:ser>
          <c:idx val="3"/>
          <c:order val="3"/>
          <c:tx>
            <c:strRef>
              <c:f>'RT Travel NonAdjacent Regions'!$AU$105</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Regions'!$AQ$106:$AQ$109</c:f>
              <c:strCache>
                <c:ptCount val="4"/>
                <c:pt idx="0">
                  <c:v>San Diego-Madera/                                   413miles</c:v>
                </c:pt>
                <c:pt idx="1">
                  <c:v>San Diego-Merced/                                               446miles</c:v>
                </c:pt>
                <c:pt idx="2">
                  <c:v>San Diego-Gilroy/                                          520miles</c:v>
                </c:pt>
                <c:pt idx="3">
                  <c:v>San Diego-San Francisco/                                                            598miles</c:v>
                </c:pt>
              </c:strCache>
            </c:strRef>
          </c:cat>
          <c:val>
            <c:numRef>
              <c:f>'RT Travel NonAdjacent Regions'!$AU$106:$AU$109</c:f>
              <c:numCache>
                <c:formatCode>#,##0</c:formatCode>
                <c:ptCount val="4"/>
                <c:pt idx="0">
                  <c:v>350.20000000000005</c:v>
                </c:pt>
                <c:pt idx="1">
                  <c:v>301.40000000000009</c:v>
                </c:pt>
                <c:pt idx="2">
                  <c:v>225.60000000000002</c:v>
                </c:pt>
                <c:pt idx="3">
                  <c:v>234.50000000000011</c:v>
                </c:pt>
              </c:numCache>
            </c:numRef>
          </c:val>
          <c:extLst>
            <c:ext xmlns:c16="http://schemas.microsoft.com/office/drawing/2014/chart" uri="{C3380CC4-5D6E-409C-BE32-E72D297353CC}">
              <c16:uniqueId val="{00000003-2B3B-784D-AFB0-DC53DF83B902}"/>
            </c:ext>
          </c:extLst>
        </c:ser>
        <c:ser>
          <c:idx val="4"/>
          <c:order val="4"/>
          <c:tx>
            <c:strRef>
              <c:f>'RT Travel NonAdjacent Regions'!$AV$105</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Regions'!$AQ$106:$AQ$109</c:f>
              <c:strCache>
                <c:ptCount val="4"/>
                <c:pt idx="0">
                  <c:v>San Diego-Madera/                                   413miles</c:v>
                </c:pt>
                <c:pt idx="1">
                  <c:v>San Diego-Merced/                                               446miles</c:v>
                </c:pt>
                <c:pt idx="2">
                  <c:v>San Diego-Gilroy/                                          520miles</c:v>
                </c:pt>
                <c:pt idx="3">
                  <c:v>San Diego-San Francisco/                                                            598miles</c:v>
                </c:pt>
              </c:strCache>
            </c:strRef>
          </c:cat>
          <c:val>
            <c:numRef>
              <c:f>'RT Travel NonAdjacent Regions'!$AV$106:$AV$109</c:f>
              <c:numCache>
                <c:formatCode>#,##0</c:formatCode>
                <c:ptCount val="4"/>
                <c:pt idx="0">
                  <c:v>432</c:v>
                </c:pt>
                <c:pt idx="1">
                  <c:v>512</c:v>
                </c:pt>
                <c:pt idx="2">
                  <c:v>718</c:v>
                </c:pt>
                <c:pt idx="3">
                  <c:v>852</c:v>
                </c:pt>
              </c:numCache>
            </c:numRef>
          </c:val>
          <c:extLst>
            <c:ext xmlns:c16="http://schemas.microsoft.com/office/drawing/2014/chart" uri="{C3380CC4-5D6E-409C-BE32-E72D297353CC}">
              <c16:uniqueId val="{00000004-2B3B-784D-AFB0-DC53DF83B902}"/>
            </c:ext>
          </c:extLst>
        </c:ser>
        <c:dLbls>
          <c:showLegendKey val="0"/>
          <c:showVal val="0"/>
          <c:showCatName val="0"/>
          <c:showSerName val="0"/>
          <c:showPercent val="0"/>
          <c:showBubbleSize val="0"/>
        </c:dLbls>
        <c:gapWidth val="50"/>
        <c:axId val="1550362960"/>
        <c:axId val="1587174864"/>
      </c:barChart>
      <c:catAx>
        <c:axId val="15503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587174864"/>
        <c:crosses val="autoZero"/>
        <c:auto val="1"/>
        <c:lblAlgn val="ctr"/>
        <c:lblOffset val="100"/>
        <c:noMultiLvlLbl val="0"/>
      </c:catAx>
      <c:valAx>
        <c:axId val="1587174864"/>
        <c:scaling>
          <c:orientation val="minMax"/>
          <c:max val="1100"/>
          <c:min val="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550362960"/>
        <c:crosses val="autoZero"/>
        <c:crossBetween val="between"/>
      </c:valAx>
      <c:spPr>
        <a:noFill/>
        <a:ln>
          <a:noFill/>
        </a:ln>
        <a:effectLst/>
      </c:spPr>
    </c:plotArea>
    <c:legend>
      <c:legendPos val="b"/>
      <c:layout>
        <c:manualLayout>
          <c:xMode val="edge"/>
          <c:yMode val="edge"/>
          <c:x val="0"/>
          <c:y val="6.3253130108449962E-2"/>
          <c:w val="0.83817941255722594"/>
          <c:h val="0.23039485936538778"/>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783986215036025E-2"/>
          <c:y val="3.7265457028686666E-2"/>
          <c:w val="0.95921601378496402"/>
          <c:h val="0.89511467730835104"/>
        </c:manualLayout>
      </c:layout>
      <c:barChart>
        <c:barDir val="col"/>
        <c:grouping val="clustered"/>
        <c:varyColors val="0"/>
        <c:ser>
          <c:idx val="0"/>
          <c:order val="0"/>
          <c:tx>
            <c:strRef>
              <c:f>'RT Travel NonAdjacent Regions'!$AR$116</c:f>
              <c:strCache>
                <c:ptCount val="1"/>
                <c:pt idx="0">
                  <c:v>SV-CV Period: Cost of Driving Alone Round-Trip @ 23¢/mile, the Authority's metric for fully-loaded auto costs</c:v>
                </c:pt>
              </c:strCache>
            </c:strRef>
          </c:tx>
          <c:spPr>
            <a:pattFill prst="pct5">
              <a:fgClr>
                <a:schemeClr val="accent1">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Regions'!$AQ$117:$AQ$121</c:f>
              <c:strCache>
                <c:ptCount val="5"/>
                <c:pt idx="0">
                  <c:v>San Diego-Turlock/                   474miles</c:v>
                </c:pt>
                <c:pt idx="1">
                  <c:v>San Diego-Modesto/                489miles</c:v>
                </c:pt>
                <c:pt idx="2">
                  <c:v>San Diego-Stockton/                     517miles</c:v>
                </c:pt>
                <c:pt idx="3">
                  <c:v>San Diego-Lodi/                         527miles</c:v>
                </c:pt>
                <c:pt idx="4">
                  <c:v>San Diego-Elk Grove/                        553miles</c:v>
                </c:pt>
              </c:strCache>
            </c:strRef>
          </c:cat>
          <c:val>
            <c:numRef>
              <c:f>'RT Travel NonAdjacent Regions'!$AR$117:$AR$121</c:f>
              <c:numCache>
                <c:formatCode>"$"#,##0</c:formatCode>
                <c:ptCount val="5"/>
                <c:pt idx="0">
                  <c:v>193.20000000000002</c:v>
                </c:pt>
                <c:pt idx="1">
                  <c:v>199.64000000000001</c:v>
                </c:pt>
                <c:pt idx="2">
                  <c:v>210.22</c:v>
                </c:pt>
                <c:pt idx="3">
                  <c:v>217.58</c:v>
                </c:pt>
                <c:pt idx="4">
                  <c:v>226.32000000000002</c:v>
                </c:pt>
              </c:numCache>
            </c:numRef>
          </c:val>
          <c:extLst>
            <c:ext xmlns:c16="http://schemas.microsoft.com/office/drawing/2014/chart" uri="{C3380CC4-5D6E-409C-BE32-E72D297353CC}">
              <c16:uniqueId val="{00000000-292B-B748-8A55-60D60E0B4CA6}"/>
            </c:ext>
          </c:extLst>
        </c:ser>
        <c:ser>
          <c:idx val="1"/>
          <c:order val="1"/>
          <c:tx>
            <c:strRef>
              <c:f>'RT Travel NonAdjacent Regions'!$AS$116</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Regions'!$AQ$117:$AQ$121</c:f>
              <c:strCache>
                <c:ptCount val="5"/>
                <c:pt idx="0">
                  <c:v>San Diego-Turlock/                   474miles</c:v>
                </c:pt>
                <c:pt idx="1">
                  <c:v>San Diego-Modesto/                489miles</c:v>
                </c:pt>
                <c:pt idx="2">
                  <c:v>San Diego-Stockton/                     517miles</c:v>
                </c:pt>
                <c:pt idx="3">
                  <c:v>San Diego-Lodi/                         527miles</c:v>
                </c:pt>
                <c:pt idx="4">
                  <c:v>San Diego-Elk Grove/                        553miles</c:v>
                </c:pt>
              </c:strCache>
            </c:strRef>
          </c:cat>
          <c:val>
            <c:numRef>
              <c:f>'RT Travel NonAdjacent Regions'!$AS$117:$AS$121</c:f>
              <c:numCache>
                <c:formatCode>"$"#,##0</c:formatCode>
                <c:ptCount val="5"/>
                <c:pt idx="0">
                  <c:v>250.3</c:v>
                </c:pt>
                <c:pt idx="1">
                  <c:v>250.3</c:v>
                </c:pt>
                <c:pt idx="2">
                  <c:v>250.3</c:v>
                </c:pt>
                <c:pt idx="3">
                  <c:v>250.3</c:v>
                </c:pt>
                <c:pt idx="4">
                  <c:v>250.3</c:v>
                </c:pt>
              </c:numCache>
            </c:numRef>
          </c:val>
          <c:extLst>
            <c:ext xmlns:c16="http://schemas.microsoft.com/office/drawing/2014/chart" uri="{C3380CC4-5D6E-409C-BE32-E72D297353CC}">
              <c16:uniqueId val="{00000001-292B-B748-8A55-60D60E0B4CA6}"/>
            </c:ext>
          </c:extLst>
        </c:ser>
        <c:ser>
          <c:idx val="2"/>
          <c:order val="2"/>
          <c:tx>
            <c:strRef>
              <c:f>'RT Travel NonAdjacent Regions'!$AT$116</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Regions'!$AQ$117:$AQ$121</c:f>
              <c:strCache>
                <c:ptCount val="5"/>
                <c:pt idx="0">
                  <c:v>San Diego-Turlock/                   474miles</c:v>
                </c:pt>
                <c:pt idx="1">
                  <c:v>San Diego-Modesto/                489miles</c:v>
                </c:pt>
                <c:pt idx="2">
                  <c:v>San Diego-Stockton/                     517miles</c:v>
                </c:pt>
                <c:pt idx="3">
                  <c:v>San Diego-Lodi/                         527miles</c:v>
                </c:pt>
                <c:pt idx="4">
                  <c:v>San Diego-Elk Grove/                        553miles</c:v>
                </c:pt>
              </c:strCache>
            </c:strRef>
          </c:cat>
          <c:val>
            <c:numRef>
              <c:f>'RT Travel NonAdjacent Regions'!$AT$117:$AT$121</c:f>
              <c:numCache>
                <c:formatCode>"$"#,##0</c:formatCode>
                <c:ptCount val="5"/>
                <c:pt idx="0">
                  <c:v>250</c:v>
                </c:pt>
                <c:pt idx="1">
                  <c:v>250</c:v>
                </c:pt>
                <c:pt idx="2">
                  <c:v>234</c:v>
                </c:pt>
                <c:pt idx="3">
                  <c:v>234</c:v>
                </c:pt>
                <c:pt idx="4">
                  <c:v>234</c:v>
                </c:pt>
              </c:numCache>
            </c:numRef>
          </c:val>
          <c:extLst>
            <c:ext xmlns:c16="http://schemas.microsoft.com/office/drawing/2014/chart" uri="{C3380CC4-5D6E-409C-BE32-E72D297353CC}">
              <c16:uniqueId val="{00000002-292B-B748-8A55-60D60E0B4CA6}"/>
            </c:ext>
          </c:extLst>
        </c:ser>
        <c:ser>
          <c:idx val="3"/>
          <c:order val="3"/>
          <c:tx>
            <c:strRef>
              <c:f>'RT Travel NonAdjacent Regions'!$AU$116</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Regions'!$AQ$117:$AQ$121</c:f>
              <c:strCache>
                <c:ptCount val="5"/>
                <c:pt idx="0">
                  <c:v>San Diego-Turlock/                   474miles</c:v>
                </c:pt>
                <c:pt idx="1">
                  <c:v>San Diego-Modesto/                489miles</c:v>
                </c:pt>
                <c:pt idx="2">
                  <c:v>San Diego-Stockton/                     517miles</c:v>
                </c:pt>
                <c:pt idx="3">
                  <c:v>San Diego-Lodi/                         527miles</c:v>
                </c:pt>
                <c:pt idx="4">
                  <c:v>San Diego-Elk Grove/                        553miles</c:v>
                </c:pt>
              </c:strCache>
            </c:strRef>
          </c:cat>
          <c:val>
            <c:numRef>
              <c:f>'RT Travel NonAdjacent Regions'!$AU$117:$AU$121</c:f>
              <c:numCache>
                <c:formatCode>#,##0</c:formatCode>
                <c:ptCount val="5"/>
                <c:pt idx="0">
                  <c:v>439.80000000000007</c:v>
                </c:pt>
                <c:pt idx="1">
                  <c:v>463.80000000000007</c:v>
                </c:pt>
                <c:pt idx="2">
                  <c:v>563.1</c:v>
                </c:pt>
                <c:pt idx="3">
                  <c:v>583.20000000000005</c:v>
                </c:pt>
                <c:pt idx="4">
                  <c:v>603.30000000000007</c:v>
                </c:pt>
              </c:numCache>
            </c:numRef>
          </c:val>
          <c:extLst>
            <c:ext xmlns:c16="http://schemas.microsoft.com/office/drawing/2014/chart" uri="{C3380CC4-5D6E-409C-BE32-E72D297353CC}">
              <c16:uniqueId val="{00000003-292B-B748-8A55-60D60E0B4CA6}"/>
            </c:ext>
          </c:extLst>
        </c:ser>
        <c:ser>
          <c:idx val="4"/>
          <c:order val="4"/>
          <c:tx>
            <c:strRef>
              <c:f>'RT Travel NonAdjacent Regions'!$AV$116</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NonAdjacent Regions'!$AQ$117:$AQ$121</c:f>
              <c:strCache>
                <c:ptCount val="5"/>
                <c:pt idx="0">
                  <c:v>San Diego-Turlock/                   474miles</c:v>
                </c:pt>
                <c:pt idx="1">
                  <c:v>San Diego-Modesto/                489miles</c:v>
                </c:pt>
                <c:pt idx="2">
                  <c:v>San Diego-Stockton/                     517miles</c:v>
                </c:pt>
                <c:pt idx="3">
                  <c:v>San Diego-Lodi/                         527miles</c:v>
                </c:pt>
                <c:pt idx="4">
                  <c:v>San Diego-Elk Grove/                        553miles</c:v>
                </c:pt>
              </c:strCache>
            </c:strRef>
          </c:cat>
          <c:val>
            <c:numRef>
              <c:f>'RT Travel NonAdjacent Regions'!$AV$117:$AV$121</c:f>
              <c:numCache>
                <c:formatCode>#,##0</c:formatCode>
                <c:ptCount val="5"/>
                <c:pt idx="0">
                  <c:v>816</c:v>
                </c:pt>
                <c:pt idx="1">
                  <c:v>886</c:v>
                </c:pt>
                <c:pt idx="2">
                  <c:v>1006</c:v>
                </c:pt>
                <c:pt idx="3">
                  <c:v>1056</c:v>
                </c:pt>
                <c:pt idx="4">
                  <c:v>1106</c:v>
                </c:pt>
              </c:numCache>
            </c:numRef>
          </c:val>
          <c:extLst>
            <c:ext xmlns:c16="http://schemas.microsoft.com/office/drawing/2014/chart" uri="{C3380CC4-5D6E-409C-BE32-E72D297353CC}">
              <c16:uniqueId val="{00000004-292B-B748-8A55-60D60E0B4CA6}"/>
            </c:ext>
          </c:extLst>
        </c:ser>
        <c:dLbls>
          <c:showLegendKey val="0"/>
          <c:showVal val="0"/>
          <c:showCatName val="0"/>
          <c:showSerName val="0"/>
          <c:showPercent val="0"/>
          <c:showBubbleSize val="0"/>
        </c:dLbls>
        <c:gapWidth val="50"/>
        <c:axId val="1130114048"/>
        <c:axId val="1107930496"/>
      </c:barChart>
      <c:catAx>
        <c:axId val="113011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107930496"/>
        <c:crosses val="autoZero"/>
        <c:auto val="1"/>
        <c:lblAlgn val="ctr"/>
        <c:lblOffset val="100"/>
        <c:noMultiLvlLbl val="0"/>
      </c:catAx>
      <c:valAx>
        <c:axId val="1107930496"/>
        <c:scaling>
          <c:orientation val="minMax"/>
          <c:max val="1450"/>
          <c:min val="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130114048"/>
        <c:crosses val="autoZero"/>
        <c:crossBetween val="between"/>
      </c:valAx>
      <c:spPr>
        <a:noFill/>
        <a:ln>
          <a:noFill/>
        </a:ln>
        <a:effectLst/>
      </c:spPr>
    </c:plotArea>
    <c:legend>
      <c:legendPos val="b"/>
      <c:layout>
        <c:manualLayout>
          <c:xMode val="edge"/>
          <c:yMode val="edge"/>
          <c:x val="2.6010910185094978E-4"/>
          <c:y val="4.8304893926346688E-2"/>
          <c:w val="0.79001293026980479"/>
          <c:h val="0.21938737402568304"/>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67795804412081E-2"/>
          <c:y val="4.4560479607280871E-2"/>
          <c:w val="0.95123220419558796"/>
          <c:h val="0.87458250466896226"/>
        </c:manualLayout>
      </c:layout>
      <c:barChart>
        <c:barDir val="col"/>
        <c:grouping val="clustered"/>
        <c:varyColors val="0"/>
        <c:ser>
          <c:idx val="0"/>
          <c:order val="0"/>
          <c:tx>
            <c:strRef>
              <c:f>'RT Travel Other Regions'!$AR$7</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dLbl>
              <c:idx val="0"/>
              <c:layout>
                <c:manualLayout>
                  <c:x val="0"/>
                  <c:y val="4.66283793158993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AF-5341-BAD5-4D32EA4B6A04}"/>
                </c:ext>
              </c:extLst>
            </c:dLbl>
            <c:dLbl>
              <c:idx val="1"/>
              <c:layout>
                <c:manualLayout>
                  <c:x val="0"/>
                  <c:y val="5.112653166680755E-2"/>
                </c:manualLayout>
              </c:layout>
              <c:spPr>
                <a:noFill/>
                <a:ln>
                  <a:noFill/>
                </a:ln>
                <a:effectLst/>
              </c:spPr>
              <c:txPr>
                <a:bodyPr rot="0" spcFirstLastPara="1" vertOverflow="ellipsis" vert="horz" wrap="square" lIns="38100" tIns="19050" rIns="38100" bIns="19050" anchor="ctr" anchorCtr="1">
                  <a:noAutofit/>
                </a:bodyPr>
                <a:lstStyle/>
                <a:p>
                  <a:pPr>
                    <a:defRPr sz="6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3.6750245162396646E-2"/>
                      <c:h val="4.9928151409938872E-2"/>
                    </c:manualLayout>
                  </c15:layout>
                </c:ext>
                <c:ext xmlns:c16="http://schemas.microsoft.com/office/drawing/2014/chart" uri="{C3380CC4-5D6E-409C-BE32-E72D297353CC}">
                  <c16:uniqueId val="{00000005-9BAF-5341-BAD5-4D32EA4B6A04}"/>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Regions'!$AQ$8:$AQ$12</c:f>
              <c:strCache>
                <c:ptCount val="5"/>
                <c:pt idx="0">
                  <c:v>Monterey-San Francisco/                                       169miles</c:v>
                </c:pt>
                <c:pt idx="1">
                  <c:v>Monterey-Fresno/                                    225miles</c:v>
                </c:pt>
                <c:pt idx="2">
                  <c:v>Monterey-Sacramento/                          396miles</c:v>
                </c:pt>
                <c:pt idx="3">
                  <c:v>Monterey-Los Angeles/                                           492miles</c:v>
                </c:pt>
                <c:pt idx="4">
                  <c:v>Monterey-San Diego/                                612miles</c:v>
                </c:pt>
              </c:strCache>
            </c:strRef>
          </c:cat>
          <c:val>
            <c:numRef>
              <c:f>'RT Travel Other Regions'!$AR$8:$AR$12</c:f>
              <c:numCache>
                <c:formatCode>"$"#,##0</c:formatCode>
                <c:ptCount val="5"/>
                <c:pt idx="0">
                  <c:v>55.660000000000004</c:v>
                </c:pt>
                <c:pt idx="1">
                  <c:v>71.3</c:v>
                </c:pt>
                <c:pt idx="2">
                  <c:v>85.100000000000009</c:v>
                </c:pt>
                <c:pt idx="3">
                  <c:v>147.20000000000002</c:v>
                </c:pt>
                <c:pt idx="4">
                  <c:v>201.48000000000002</c:v>
                </c:pt>
              </c:numCache>
            </c:numRef>
          </c:val>
          <c:extLst>
            <c:ext xmlns:c16="http://schemas.microsoft.com/office/drawing/2014/chart" uri="{C3380CC4-5D6E-409C-BE32-E72D297353CC}">
              <c16:uniqueId val="{00000000-9BAF-5341-BAD5-4D32EA4B6A04}"/>
            </c:ext>
          </c:extLst>
        </c:ser>
        <c:ser>
          <c:idx val="1"/>
          <c:order val="1"/>
          <c:tx>
            <c:strRef>
              <c:f>'RT Travel Other Regions'!$AS$7</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Regions'!$AQ$8:$AQ$12</c:f>
              <c:strCache>
                <c:ptCount val="5"/>
                <c:pt idx="0">
                  <c:v>Monterey-San Francisco/                                       169miles</c:v>
                </c:pt>
                <c:pt idx="1">
                  <c:v>Monterey-Fresno/                                    225miles</c:v>
                </c:pt>
                <c:pt idx="2">
                  <c:v>Monterey-Sacramento/                          396miles</c:v>
                </c:pt>
                <c:pt idx="3">
                  <c:v>Monterey-Los Angeles/                                           492miles</c:v>
                </c:pt>
                <c:pt idx="4">
                  <c:v>Monterey-San Diego/                                612miles</c:v>
                </c:pt>
              </c:strCache>
            </c:strRef>
          </c:cat>
          <c:val>
            <c:numRef>
              <c:f>'RT Travel Other Regions'!$AS$8:$AS$12</c:f>
              <c:numCache>
                <c:formatCode>"$"#,##0</c:formatCode>
                <c:ptCount val="5"/>
                <c:pt idx="0">
                  <c:v>117</c:v>
                </c:pt>
                <c:pt idx="1">
                  <c:v>201</c:v>
                </c:pt>
                <c:pt idx="2">
                  <c:v>213</c:v>
                </c:pt>
                <c:pt idx="3">
                  <c:v>269</c:v>
                </c:pt>
                <c:pt idx="4">
                  <c:v>340.3</c:v>
                </c:pt>
              </c:numCache>
            </c:numRef>
          </c:val>
          <c:extLst>
            <c:ext xmlns:c16="http://schemas.microsoft.com/office/drawing/2014/chart" uri="{C3380CC4-5D6E-409C-BE32-E72D297353CC}">
              <c16:uniqueId val="{00000001-9BAF-5341-BAD5-4D32EA4B6A04}"/>
            </c:ext>
          </c:extLst>
        </c:ser>
        <c:ser>
          <c:idx val="2"/>
          <c:order val="2"/>
          <c:tx>
            <c:strRef>
              <c:f>'RT Travel Other Regions'!$AT$7</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Regions'!$AQ$8:$AQ$12</c:f>
              <c:strCache>
                <c:ptCount val="5"/>
                <c:pt idx="0">
                  <c:v>Monterey-San Francisco/                                       169miles</c:v>
                </c:pt>
                <c:pt idx="1">
                  <c:v>Monterey-Fresno/                                    225miles</c:v>
                </c:pt>
                <c:pt idx="2">
                  <c:v>Monterey-Sacramento/                          396miles</c:v>
                </c:pt>
                <c:pt idx="3">
                  <c:v>Monterey-Los Angeles/                                           492miles</c:v>
                </c:pt>
                <c:pt idx="4">
                  <c:v>Monterey-San Diego/                                612miles</c:v>
                </c:pt>
              </c:strCache>
            </c:strRef>
          </c:cat>
          <c:val>
            <c:numRef>
              <c:f>'RT Travel Other Regions'!$AT$8:$AT$12</c:f>
              <c:numCache>
                <c:formatCode>"$"#,##0</c:formatCode>
                <c:ptCount val="5"/>
                <c:pt idx="0">
                  <c:v>347</c:v>
                </c:pt>
                <c:pt idx="1">
                  <c:v>564</c:v>
                </c:pt>
                <c:pt idx="2">
                  <c:v>564</c:v>
                </c:pt>
                <c:pt idx="3">
                  <c:v>289</c:v>
                </c:pt>
                <c:pt idx="4">
                  <c:v>363</c:v>
                </c:pt>
              </c:numCache>
            </c:numRef>
          </c:val>
          <c:extLst>
            <c:ext xmlns:c16="http://schemas.microsoft.com/office/drawing/2014/chart" uri="{C3380CC4-5D6E-409C-BE32-E72D297353CC}">
              <c16:uniqueId val="{00000002-9BAF-5341-BAD5-4D32EA4B6A04}"/>
            </c:ext>
          </c:extLst>
        </c:ser>
        <c:ser>
          <c:idx val="3"/>
          <c:order val="3"/>
          <c:tx>
            <c:strRef>
              <c:f>'RT Travel Other Regions'!$AU$7</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Regions'!$AQ$8:$AQ$12</c:f>
              <c:strCache>
                <c:ptCount val="5"/>
                <c:pt idx="0">
                  <c:v>Monterey-San Francisco/                                       169miles</c:v>
                </c:pt>
                <c:pt idx="1">
                  <c:v>Monterey-Fresno/                                    225miles</c:v>
                </c:pt>
                <c:pt idx="2">
                  <c:v>Monterey-Sacramento/                          396miles</c:v>
                </c:pt>
                <c:pt idx="3">
                  <c:v>Monterey-Los Angeles/                                           492miles</c:v>
                </c:pt>
                <c:pt idx="4">
                  <c:v>Monterey-San Diego/                                612miles</c:v>
                </c:pt>
              </c:strCache>
            </c:strRef>
          </c:cat>
          <c:val>
            <c:numRef>
              <c:f>'RT Travel Other Regions'!$AU$8:$AU$12</c:f>
              <c:numCache>
                <c:formatCode>#,##0</c:formatCode>
                <c:ptCount val="5"/>
                <c:pt idx="0">
                  <c:v>191.40000000000003</c:v>
                </c:pt>
                <c:pt idx="1">
                  <c:v>260.8</c:v>
                </c:pt>
                <c:pt idx="2">
                  <c:v>699.5</c:v>
                </c:pt>
                <c:pt idx="3">
                  <c:v>391</c:v>
                </c:pt>
                <c:pt idx="4">
                  <c:v>1432.7</c:v>
                </c:pt>
              </c:numCache>
            </c:numRef>
          </c:val>
          <c:extLst>
            <c:ext xmlns:c16="http://schemas.microsoft.com/office/drawing/2014/chart" uri="{C3380CC4-5D6E-409C-BE32-E72D297353CC}">
              <c16:uniqueId val="{00000003-9BAF-5341-BAD5-4D32EA4B6A04}"/>
            </c:ext>
          </c:extLst>
        </c:ser>
        <c:ser>
          <c:idx val="4"/>
          <c:order val="4"/>
          <c:tx>
            <c:strRef>
              <c:f>'RT Travel Other Regions'!$AV$7</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Regions'!$AQ$8:$AQ$12</c:f>
              <c:strCache>
                <c:ptCount val="5"/>
                <c:pt idx="0">
                  <c:v>Monterey-San Francisco/                                       169miles</c:v>
                </c:pt>
                <c:pt idx="1">
                  <c:v>Monterey-Fresno/                                    225miles</c:v>
                </c:pt>
                <c:pt idx="2">
                  <c:v>Monterey-Sacramento/                          396miles</c:v>
                </c:pt>
                <c:pt idx="3">
                  <c:v>Monterey-Los Angeles/                                           492miles</c:v>
                </c:pt>
                <c:pt idx="4">
                  <c:v>Monterey-San Diego/                                612miles</c:v>
                </c:pt>
              </c:strCache>
            </c:strRef>
          </c:cat>
          <c:val>
            <c:numRef>
              <c:f>'RT Travel Other Regions'!$AV$8:$AV$12</c:f>
              <c:numCache>
                <c:formatCode>#,##0</c:formatCode>
                <c:ptCount val="5"/>
                <c:pt idx="0">
                  <c:v>226</c:v>
                </c:pt>
                <c:pt idx="1">
                  <c:v>-32</c:v>
                </c:pt>
                <c:pt idx="2">
                  <c:v>586</c:v>
                </c:pt>
                <c:pt idx="3">
                  <c:v>696</c:v>
                </c:pt>
                <c:pt idx="4">
                  <c:v>1106</c:v>
                </c:pt>
              </c:numCache>
            </c:numRef>
          </c:val>
          <c:extLst>
            <c:ext xmlns:c16="http://schemas.microsoft.com/office/drawing/2014/chart" uri="{C3380CC4-5D6E-409C-BE32-E72D297353CC}">
              <c16:uniqueId val="{00000004-9BAF-5341-BAD5-4D32EA4B6A04}"/>
            </c:ext>
          </c:extLst>
        </c:ser>
        <c:dLbls>
          <c:showLegendKey val="0"/>
          <c:showVal val="0"/>
          <c:showCatName val="0"/>
          <c:showSerName val="0"/>
          <c:showPercent val="0"/>
          <c:showBubbleSize val="0"/>
        </c:dLbls>
        <c:gapWidth val="50"/>
        <c:axId val="790815951"/>
        <c:axId val="790817631"/>
      </c:barChart>
      <c:catAx>
        <c:axId val="790815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790817631"/>
        <c:crosses val="autoZero"/>
        <c:auto val="1"/>
        <c:lblAlgn val="ctr"/>
        <c:lblOffset val="100"/>
        <c:noMultiLvlLbl val="0"/>
      </c:catAx>
      <c:valAx>
        <c:axId val="790817631"/>
        <c:scaling>
          <c:orientation val="minMax"/>
          <c:max val="155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790815951"/>
        <c:crosses val="autoZero"/>
        <c:crossBetween val="between"/>
      </c:valAx>
      <c:spPr>
        <a:noFill/>
        <a:ln>
          <a:noFill/>
        </a:ln>
        <a:effectLst/>
      </c:spPr>
    </c:plotArea>
    <c:legend>
      <c:legendPos val="b"/>
      <c:layout>
        <c:manualLayout>
          <c:xMode val="edge"/>
          <c:yMode val="edge"/>
          <c:x val="0"/>
          <c:y val="0.1544630356592662"/>
          <c:w val="0.92741200551926783"/>
          <c:h val="0.29477347577669893"/>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6"/>
          <c:order val="0"/>
          <c:tx>
            <c:strRef>
              <c:f>'RT Intra-Regional Travel'!$Q$62</c:f>
              <c:strCache>
                <c:ptCount val="1"/>
                <c:pt idx="0">
                  <c:v>SV-CV Period: Cost of Driving Alone Round-Trip @ 26¢/mile, the Authority's metric for fully-loaded auto costs</c:v>
                </c:pt>
              </c:strCache>
            </c:strRef>
          </c:tx>
          <c:spPr>
            <a:pattFill prst="pct20">
              <a:fgClr>
                <a:schemeClr val="accent1">
                  <a:lumMod val="60000"/>
                  <a:lumOff val="40000"/>
                </a:schemeClr>
              </a:fgClr>
              <a:bgClr>
                <a:srgbClr val="000090"/>
              </a:bgClr>
            </a:pattFill>
          </c:spPr>
          <c:invertIfNegative val="0"/>
          <c:dLbls>
            <c:spPr>
              <a:noFill/>
              <a:ln w="25400">
                <a:noFill/>
              </a:ln>
            </c:spPr>
            <c:txPr>
              <a:bodyPr/>
              <a:lstStyle/>
              <a:p>
                <a:pPr>
                  <a:defRPr sz="600" b="1" i="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Travel'!$P$69:$P$71</c:f>
              <c:strCache>
                <c:ptCount val="3"/>
                <c:pt idx="0">
                  <c:v>Merced-Fresno/                                                        59miles</c:v>
                </c:pt>
                <c:pt idx="1">
                  <c:v>KT Hanford-Bakersfield/                                             63miles</c:v>
                </c:pt>
                <c:pt idx="2">
                  <c:v>Merced-KT Hanford/                                          128miles</c:v>
                </c:pt>
              </c:strCache>
            </c:strRef>
          </c:cat>
          <c:val>
            <c:numRef>
              <c:f>'RT Intra-Regional Travel'!$Q$69:$Q$71</c:f>
              <c:numCache>
                <c:formatCode>"$"#,##0</c:formatCode>
                <c:ptCount val="3"/>
                <c:pt idx="0">
                  <c:v>25.76</c:v>
                </c:pt>
                <c:pt idx="1">
                  <c:v>34.04</c:v>
                </c:pt>
                <c:pt idx="2">
                  <c:v>37.260000000000005</c:v>
                </c:pt>
              </c:numCache>
            </c:numRef>
          </c:val>
          <c:extLst>
            <c:ext xmlns:c16="http://schemas.microsoft.com/office/drawing/2014/chart" uri="{C3380CC4-5D6E-409C-BE32-E72D297353CC}">
              <c16:uniqueId val="{00000000-C0DB-8844-BE65-A782C42779EC}"/>
            </c:ext>
          </c:extLst>
        </c:ser>
        <c:ser>
          <c:idx val="7"/>
          <c:order val="1"/>
          <c:tx>
            <c:strRef>
              <c:f>'RT Intra-Regional Travel'!$R$62</c:f>
              <c:strCache>
                <c:ptCount val="1"/>
                <c:pt idx="0">
                  <c:v>SV-CV Period: Per person cost of intra-regional round-trip fares using HSR; bassed on Figure 2.2 fares and $23 of access + egress round-trip costs</c:v>
                </c:pt>
              </c:strCache>
            </c:strRef>
          </c:tx>
          <c:spPr>
            <a:pattFill prst="dkUpDiag">
              <a:fgClr>
                <a:srgbClr val="FF0000"/>
              </a:fgClr>
              <a:bgClr>
                <a:schemeClr val="bg1"/>
              </a:bgClr>
            </a:pattFill>
            <a:ln>
              <a:noFill/>
            </a:ln>
          </c:spPr>
          <c:invertIfNegative val="0"/>
          <c:dLbls>
            <c:spPr>
              <a:noFill/>
              <a:ln w="25400">
                <a:noFill/>
              </a:ln>
            </c:spPr>
            <c:txPr>
              <a:bodyPr/>
              <a:lstStyle/>
              <a:p>
                <a:pPr>
                  <a:defRPr sz="600" b="1" i="0">
                    <a:solidFill>
                      <a:srgbClr val="FF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Travel'!$P$69:$P$71</c:f>
              <c:strCache>
                <c:ptCount val="3"/>
                <c:pt idx="0">
                  <c:v>Merced-Fresno/                                                        59miles</c:v>
                </c:pt>
                <c:pt idx="1">
                  <c:v>KT Hanford-Bakersfield/                                             63miles</c:v>
                </c:pt>
                <c:pt idx="2">
                  <c:v>Merced-KT Hanford/                                          128miles</c:v>
                </c:pt>
              </c:strCache>
            </c:strRef>
          </c:cat>
          <c:val>
            <c:numRef>
              <c:f>'RT Intra-Regional Travel'!$R$69:$R$71</c:f>
              <c:numCache>
                <c:formatCode>"$"#,##0</c:formatCode>
                <c:ptCount val="3"/>
                <c:pt idx="0">
                  <c:v>105</c:v>
                </c:pt>
                <c:pt idx="1">
                  <c:v>131</c:v>
                </c:pt>
                <c:pt idx="2">
                  <c:v>121</c:v>
                </c:pt>
              </c:numCache>
            </c:numRef>
          </c:val>
          <c:extLst>
            <c:ext xmlns:c16="http://schemas.microsoft.com/office/drawing/2014/chart" uri="{C3380CC4-5D6E-409C-BE32-E72D297353CC}">
              <c16:uniqueId val="{00000001-C0DB-8844-BE65-A782C42779EC}"/>
            </c:ext>
          </c:extLst>
        </c:ser>
        <c:ser>
          <c:idx val="8"/>
          <c:order val="2"/>
          <c:tx>
            <c:strRef>
              <c:f>'RT Intra-Regional Travel'!$S$62</c:f>
              <c:strCache>
                <c:ptCount val="1"/>
                <c:pt idx="0">
                  <c:v>SV-CV Period: Per person fares for intra-regional round-trip by Caltrain, Metrolink or Amtrak (2017 $$s) and $23 of access + egress costs</c:v>
                </c:pt>
              </c:strCache>
            </c:strRef>
          </c:tx>
          <c:spPr>
            <a:pattFill prst="pct40">
              <a:fgClr>
                <a:srgbClr val="7030A0"/>
              </a:fgClr>
              <a:bgClr>
                <a:schemeClr val="bg1"/>
              </a:bgClr>
            </a:pattFill>
            <a:ln>
              <a:noFill/>
            </a:ln>
          </c:spPr>
          <c:invertIfNegative val="0"/>
          <c:dLbls>
            <c:spPr>
              <a:noFill/>
              <a:ln w="25400">
                <a:noFill/>
              </a:ln>
            </c:spPr>
            <c:txPr>
              <a:bodyPr/>
              <a:lstStyle/>
              <a:p>
                <a:pPr>
                  <a:defRPr sz="600" b="1" i="0">
                    <a:solidFill>
                      <a:schemeClr val="tx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Travel'!$P$69:$P$71</c:f>
              <c:strCache>
                <c:ptCount val="3"/>
                <c:pt idx="0">
                  <c:v>Merced-Fresno/                                                        59miles</c:v>
                </c:pt>
                <c:pt idx="1">
                  <c:v>KT Hanford-Bakersfield/                                             63miles</c:v>
                </c:pt>
                <c:pt idx="2">
                  <c:v>Merced-KT Hanford/                                          128miles</c:v>
                </c:pt>
              </c:strCache>
            </c:strRef>
          </c:cat>
          <c:val>
            <c:numRef>
              <c:f>'RT Intra-Regional Travel'!$S$69:$S$71</c:f>
              <c:numCache>
                <c:formatCode>"$"#,##0</c:formatCode>
                <c:ptCount val="3"/>
                <c:pt idx="0">
                  <c:v>51</c:v>
                </c:pt>
                <c:pt idx="1">
                  <c:v>57</c:v>
                </c:pt>
                <c:pt idx="2">
                  <c:v>60</c:v>
                </c:pt>
              </c:numCache>
            </c:numRef>
          </c:val>
          <c:extLst>
            <c:ext xmlns:c16="http://schemas.microsoft.com/office/drawing/2014/chart" uri="{C3380CC4-5D6E-409C-BE32-E72D297353CC}">
              <c16:uniqueId val="{00000002-C0DB-8844-BE65-A782C42779EC}"/>
            </c:ext>
          </c:extLst>
        </c:ser>
        <c:ser>
          <c:idx val="0"/>
          <c:order val="3"/>
          <c:tx>
            <c:strRef>
              <c:f>'RT Intra-Regional Travel'!$T$62</c:f>
              <c:strCache>
                <c:ptCount val="1"/>
                <c:pt idx="0">
                  <c:v>SV-CV Period-Total Travel Time (minutes) saved by Auto travelers (using 15% uplift of time) versus HSR travelers  (negative # is TTT minutes more of Auto travel than HSR travel)</c:v>
                </c:pt>
              </c:strCache>
            </c:strRef>
          </c:tx>
          <c:spPr>
            <a:pattFill prst="openDmnd">
              <a:fgClr>
                <a:schemeClr val="bg1"/>
              </a:fgClr>
              <a:bgClr>
                <a:srgbClr val="008000"/>
              </a:bgClr>
            </a:pattFill>
          </c:spPr>
          <c:invertIfNegative val="0"/>
          <c:dLbls>
            <c:spPr>
              <a:noFill/>
              <a:ln w="25400">
                <a:noFill/>
              </a:ln>
            </c:spPr>
            <c:txPr>
              <a:bodyPr/>
              <a:lstStyle/>
              <a:p>
                <a:pPr>
                  <a:defRPr sz="600" b="1" i="0">
                    <a:solidFill>
                      <a:srgbClr val="008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'RT Intra-Regional Travel'!$P$69:$P$71</c:f>
              <c:strCache>
                <c:ptCount val="3"/>
                <c:pt idx="0">
                  <c:v>Merced-Fresno/                                                        59miles</c:v>
                </c:pt>
                <c:pt idx="1">
                  <c:v>KT Hanford-Bakersfield/                                             63miles</c:v>
                </c:pt>
                <c:pt idx="2">
                  <c:v>Merced-KT Hanford/                                          128miles</c:v>
                </c:pt>
              </c:strCache>
            </c:strRef>
          </c:cat>
          <c:val>
            <c:numRef>
              <c:f>'RT Intra-Regional Travel'!$T$69:$T$71</c:f>
              <c:numCache>
                <c:formatCode>0</c:formatCode>
                <c:ptCount val="3"/>
                <c:pt idx="0">
                  <c:v>166.9</c:v>
                </c:pt>
                <c:pt idx="1">
                  <c:v>64.5</c:v>
                </c:pt>
                <c:pt idx="2">
                  <c:v>141.9</c:v>
                </c:pt>
              </c:numCache>
            </c:numRef>
          </c:val>
          <c:extLst>
            <c:ext xmlns:c16="http://schemas.microsoft.com/office/drawing/2014/chart" uri="{C3380CC4-5D6E-409C-BE32-E72D297353CC}">
              <c16:uniqueId val="{00000003-C0DB-8844-BE65-A782C42779EC}"/>
            </c:ext>
          </c:extLst>
        </c:ser>
        <c:dLbls>
          <c:showLegendKey val="0"/>
          <c:showVal val="0"/>
          <c:showCatName val="0"/>
          <c:showSerName val="0"/>
          <c:showPercent val="0"/>
          <c:showBubbleSize val="0"/>
        </c:dLbls>
        <c:gapWidth val="50"/>
        <c:axId val="2128072456"/>
        <c:axId val="2128075608"/>
      </c:barChart>
      <c:catAx>
        <c:axId val="2128072456"/>
        <c:scaling>
          <c:orientation val="minMax"/>
        </c:scaling>
        <c:delete val="0"/>
        <c:axPos val="b"/>
        <c:numFmt formatCode="General" sourceLinked="1"/>
        <c:majorTickMark val="out"/>
        <c:minorTickMark val="none"/>
        <c:tickLblPos val="nextTo"/>
        <c:txPr>
          <a:bodyPr/>
          <a:lstStyle/>
          <a:p>
            <a:pPr>
              <a:defRPr sz="600" b="1" i="0"/>
            </a:pPr>
            <a:endParaRPr lang="en-US"/>
          </a:p>
        </c:txPr>
        <c:crossAx val="2128075608"/>
        <c:crosses val="autoZero"/>
        <c:auto val="1"/>
        <c:lblAlgn val="ctr"/>
        <c:lblOffset val="100"/>
        <c:noMultiLvlLbl val="0"/>
      </c:catAx>
      <c:valAx>
        <c:axId val="2128075608"/>
        <c:scaling>
          <c:orientation val="minMax"/>
          <c:max val="350"/>
        </c:scaling>
        <c:delete val="0"/>
        <c:axPos val="l"/>
        <c:majorGridlines>
          <c:spPr>
            <a:ln w="12700" cmpd="sng">
              <a:prstDash val="sysDot"/>
            </a:ln>
          </c:spPr>
        </c:majorGridlines>
        <c:numFmt formatCode="&quot;$&quot;#,##0" sourceLinked="1"/>
        <c:majorTickMark val="out"/>
        <c:minorTickMark val="none"/>
        <c:tickLblPos val="nextTo"/>
        <c:txPr>
          <a:bodyPr/>
          <a:lstStyle/>
          <a:p>
            <a:pPr>
              <a:defRPr sz="500">
                <a:solidFill>
                  <a:srgbClr val="FF0000"/>
                </a:solidFill>
              </a:defRPr>
            </a:pPr>
            <a:endParaRPr lang="en-US"/>
          </a:p>
        </c:txPr>
        <c:crossAx val="2128072456"/>
        <c:crosses val="autoZero"/>
        <c:crossBetween val="between"/>
      </c:valAx>
      <c:spPr>
        <a:noFill/>
        <a:ln w="25400">
          <a:noFill/>
        </a:ln>
      </c:spPr>
    </c:plotArea>
    <c:legend>
      <c:legendPos val="r"/>
      <c:layout>
        <c:manualLayout>
          <c:xMode val="edge"/>
          <c:yMode val="edge"/>
          <c:x val="0"/>
          <c:y val="0.14049006106692469"/>
          <c:w val="0.98050129230029437"/>
          <c:h val="0.27919317777585495"/>
        </c:manualLayout>
      </c:layout>
      <c:overlay val="1"/>
      <c:txPr>
        <a:bodyPr/>
        <a:lstStyle/>
        <a:p>
          <a:pPr>
            <a:defRPr sz="600" b="1" i="0"/>
          </a:pPr>
          <a:endParaRPr lang="en-US"/>
        </a:p>
      </c:txPr>
    </c:legend>
    <c:plotVisOnly val="1"/>
    <c:dispBlanksAs val="gap"/>
    <c:showDLblsOverMax val="0"/>
  </c:chart>
  <c:spPr>
    <a:noFill/>
    <a:ln w="9525">
      <a:noFill/>
    </a:ln>
  </c:sp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20473355826516E-2"/>
          <c:y val="5.0925925925925923E-2"/>
          <c:w val="0.94417952664417348"/>
          <c:h val="0.82271106511495273"/>
        </c:manualLayout>
      </c:layout>
      <c:barChart>
        <c:barDir val="col"/>
        <c:grouping val="clustered"/>
        <c:varyColors val="0"/>
        <c:ser>
          <c:idx val="0"/>
          <c:order val="0"/>
          <c:tx>
            <c:strRef>
              <c:f>'RT Travel Other Regions'!$AR$18</c:f>
              <c:strCache>
                <c:ptCount val="1"/>
                <c:pt idx="0">
                  <c:v>SV-CV Period: Cost of Driving Alone Round-Trip @ 23¢/mile, the Authority's metric for fully-loaded auto costs</c:v>
                </c:pt>
              </c:strCache>
            </c:strRef>
          </c:tx>
          <c:spPr>
            <a:pattFill prst="pct5">
              <a:fgClr>
                <a:schemeClr val="accent1">
                  <a:lumMod val="60000"/>
                  <a:lumOff val="40000"/>
                </a:schemeClr>
              </a:fgClr>
              <a:bgClr>
                <a:srgbClr val="000090"/>
              </a:bgClr>
            </a:pattFill>
            <a:ln>
              <a:noFill/>
            </a:ln>
            <a:effectLst/>
          </c:spPr>
          <c:invertIfNegative val="0"/>
          <c:dLbls>
            <c:dLbl>
              <c:idx val="0"/>
              <c:layout>
                <c:manualLayout>
                  <c:x val="-1.2731334408019993E-17"/>
                  <c:y val="1.1698745990084573E-2"/>
                </c:manualLayout>
              </c:layout>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009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B8-B940-AC2A-D241B223A0A0}"/>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Regions'!$AQ$19:$AQ$23</c:f>
              <c:strCache>
                <c:ptCount val="5"/>
                <c:pt idx="0">
                  <c:v>                Santa Barbara-Los Angeles/                                95miles</c:v>
                </c:pt>
                <c:pt idx="1">
                  <c:v>             Santa Barbara-Monterey/                              590miles</c:v>
                </c:pt>
                <c:pt idx="2">
                  <c:v>           Santa Barbara-San Diego/                               219miles</c:v>
                </c:pt>
                <c:pt idx="3">
                  <c:v>             Santa Barbara-Fresno/                                      366miles</c:v>
                </c:pt>
                <c:pt idx="4">
                  <c:v>Santa Barbara-Sacramento/                538miles</c:v>
                </c:pt>
              </c:strCache>
            </c:strRef>
          </c:cat>
          <c:val>
            <c:numRef>
              <c:f>'RT Travel Other Regions'!$AR$19:$AR$23</c:f>
              <c:numCache>
                <c:formatCode>"$"#,##0</c:formatCode>
                <c:ptCount val="5"/>
                <c:pt idx="0">
                  <c:v>43.7</c:v>
                </c:pt>
                <c:pt idx="1">
                  <c:v>108.10000000000001</c:v>
                </c:pt>
                <c:pt idx="2">
                  <c:v>100.28</c:v>
                </c:pt>
                <c:pt idx="3">
                  <c:v>116.84</c:v>
                </c:pt>
                <c:pt idx="4">
                  <c:v>177.56</c:v>
                </c:pt>
              </c:numCache>
            </c:numRef>
          </c:val>
          <c:extLst>
            <c:ext xmlns:c16="http://schemas.microsoft.com/office/drawing/2014/chart" uri="{C3380CC4-5D6E-409C-BE32-E72D297353CC}">
              <c16:uniqueId val="{00000000-2DB8-B940-AC2A-D241B223A0A0}"/>
            </c:ext>
          </c:extLst>
        </c:ser>
        <c:ser>
          <c:idx val="1"/>
          <c:order val="1"/>
          <c:tx>
            <c:strRef>
              <c:f>'RT Travel Other Regions'!$AS$18</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Regions'!$AQ$19:$AQ$23</c:f>
              <c:strCache>
                <c:ptCount val="5"/>
                <c:pt idx="0">
                  <c:v>                Santa Barbara-Los Angeles/                                95miles</c:v>
                </c:pt>
                <c:pt idx="1">
                  <c:v>             Santa Barbara-Monterey/                              590miles</c:v>
                </c:pt>
                <c:pt idx="2">
                  <c:v>           Santa Barbara-San Diego/                               219miles</c:v>
                </c:pt>
                <c:pt idx="3">
                  <c:v>             Santa Barbara-Fresno/                                      366miles</c:v>
                </c:pt>
                <c:pt idx="4">
                  <c:v>Santa Barbara-Sacramento/                538miles</c:v>
                </c:pt>
              </c:strCache>
            </c:strRef>
          </c:cat>
          <c:val>
            <c:numRef>
              <c:f>'RT Travel Other Regions'!$AS$19:$AS$23</c:f>
              <c:numCache>
                <c:formatCode>"$"#,##0</c:formatCode>
                <c:ptCount val="5"/>
                <c:pt idx="0">
                  <c:v>51</c:v>
                </c:pt>
                <c:pt idx="1">
                  <c:v>297</c:v>
                </c:pt>
                <c:pt idx="2">
                  <c:v>125</c:v>
                </c:pt>
                <c:pt idx="3">
                  <c:v>195</c:v>
                </c:pt>
                <c:pt idx="4">
                  <c:v>225</c:v>
                </c:pt>
              </c:numCache>
            </c:numRef>
          </c:val>
          <c:extLst>
            <c:ext xmlns:c16="http://schemas.microsoft.com/office/drawing/2014/chart" uri="{C3380CC4-5D6E-409C-BE32-E72D297353CC}">
              <c16:uniqueId val="{00000001-2DB8-B940-AC2A-D241B223A0A0}"/>
            </c:ext>
          </c:extLst>
        </c:ser>
        <c:ser>
          <c:idx val="2"/>
          <c:order val="2"/>
          <c:tx>
            <c:strRef>
              <c:f>'RT Travel Other Regions'!$AT$18</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Regions'!$AQ$19:$AQ$23</c:f>
              <c:strCache>
                <c:ptCount val="5"/>
                <c:pt idx="0">
                  <c:v>                Santa Barbara-Los Angeles/                                95miles</c:v>
                </c:pt>
                <c:pt idx="1">
                  <c:v>             Santa Barbara-Monterey/                              590miles</c:v>
                </c:pt>
                <c:pt idx="2">
                  <c:v>           Santa Barbara-San Diego/                               219miles</c:v>
                </c:pt>
                <c:pt idx="3">
                  <c:v>             Santa Barbara-Fresno/                                      366miles</c:v>
                </c:pt>
                <c:pt idx="4">
                  <c:v>Santa Barbara-Sacramento/                538miles</c:v>
                </c:pt>
              </c:strCache>
            </c:strRef>
          </c:cat>
          <c:val>
            <c:numRef>
              <c:f>'RT Travel Other Regions'!$AT$19:$AT$23</c:f>
              <c:numCache>
                <c:formatCode>"$"#,##0</c:formatCode>
                <c:ptCount val="5"/>
                <c:pt idx="0">
                  <c:v>368</c:v>
                </c:pt>
                <c:pt idx="1">
                  <c:v>567</c:v>
                </c:pt>
                <c:pt idx="2">
                  <c:v>554</c:v>
                </c:pt>
                <c:pt idx="3">
                  <c:v>546</c:v>
                </c:pt>
                <c:pt idx="4">
                  <c:v>543</c:v>
                </c:pt>
              </c:numCache>
            </c:numRef>
          </c:val>
          <c:extLst>
            <c:ext xmlns:c16="http://schemas.microsoft.com/office/drawing/2014/chart" uri="{C3380CC4-5D6E-409C-BE32-E72D297353CC}">
              <c16:uniqueId val="{00000002-2DB8-B940-AC2A-D241B223A0A0}"/>
            </c:ext>
          </c:extLst>
        </c:ser>
        <c:ser>
          <c:idx val="3"/>
          <c:order val="3"/>
          <c:tx>
            <c:strRef>
              <c:f>'RT Travel Other Regions'!$AU$18</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Regions'!$AQ$19:$AQ$23</c:f>
              <c:strCache>
                <c:ptCount val="5"/>
                <c:pt idx="0">
                  <c:v>                Santa Barbara-Los Angeles/                                95miles</c:v>
                </c:pt>
                <c:pt idx="1">
                  <c:v>             Santa Barbara-Monterey/                              590miles</c:v>
                </c:pt>
                <c:pt idx="2">
                  <c:v>           Santa Barbara-San Diego/                               219miles</c:v>
                </c:pt>
                <c:pt idx="3">
                  <c:v>             Santa Barbara-Fresno/                                      366miles</c:v>
                </c:pt>
                <c:pt idx="4">
                  <c:v>Santa Barbara-Sacramento/                538miles</c:v>
                </c:pt>
              </c:strCache>
            </c:strRef>
          </c:cat>
          <c:val>
            <c:numRef>
              <c:f>'RT Travel Other Regions'!$AU$19:$AU$23</c:f>
              <c:numCache>
                <c:formatCode>#,##0</c:formatCode>
                <c:ptCount val="5"/>
                <c:pt idx="0">
                  <c:v>271.25</c:v>
                </c:pt>
                <c:pt idx="1">
                  <c:v>928.90000000000009</c:v>
                </c:pt>
                <c:pt idx="2">
                  <c:v>283.70000000000005</c:v>
                </c:pt>
                <c:pt idx="3">
                  <c:v>356.70000000000005</c:v>
                </c:pt>
                <c:pt idx="4">
                  <c:v>613.70000000000005</c:v>
                </c:pt>
              </c:numCache>
            </c:numRef>
          </c:val>
          <c:extLst>
            <c:ext xmlns:c16="http://schemas.microsoft.com/office/drawing/2014/chart" uri="{C3380CC4-5D6E-409C-BE32-E72D297353CC}">
              <c16:uniqueId val="{00000003-2DB8-B940-AC2A-D241B223A0A0}"/>
            </c:ext>
          </c:extLst>
        </c:ser>
        <c:ser>
          <c:idx val="4"/>
          <c:order val="4"/>
          <c:tx>
            <c:strRef>
              <c:f>'RT Travel Other Regions'!$AV$18</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Regions'!$AQ$19:$AQ$23</c:f>
              <c:strCache>
                <c:ptCount val="5"/>
                <c:pt idx="0">
                  <c:v>                Santa Barbara-Los Angeles/                                95miles</c:v>
                </c:pt>
                <c:pt idx="1">
                  <c:v>             Santa Barbara-Monterey/                              590miles</c:v>
                </c:pt>
                <c:pt idx="2">
                  <c:v>           Santa Barbara-San Diego/                               219miles</c:v>
                </c:pt>
                <c:pt idx="3">
                  <c:v>             Santa Barbara-Fresno/                                      366miles</c:v>
                </c:pt>
                <c:pt idx="4">
                  <c:v>Santa Barbara-Sacramento/                538miles</c:v>
                </c:pt>
              </c:strCache>
            </c:strRef>
          </c:cat>
          <c:val>
            <c:numRef>
              <c:f>'RT Travel Other Regions'!$AV$19:$AV$23</c:f>
              <c:numCache>
                <c:formatCode>#,##0</c:formatCode>
                <c:ptCount val="5"/>
                <c:pt idx="0">
                  <c:v>48</c:v>
                </c:pt>
                <c:pt idx="1">
                  <c:v>866</c:v>
                </c:pt>
                <c:pt idx="2">
                  <c:v>244</c:v>
                </c:pt>
                <c:pt idx="3">
                  <c:v>200</c:v>
                </c:pt>
                <c:pt idx="4">
                  <c:v>658</c:v>
                </c:pt>
              </c:numCache>
            </c:numRef>
          </c:val>
          <c:extLst>
            <c:ext xmlns:c16="http://schemas.microsoft.com/office/drawing/2014/chart" uri="{C3380CC4-5D6E-409C-BE32-E72D297353CC}">
              <c16:uniqueId val="{00000004-2DB8-B940-AC2A-D241B223A0A0}"/>
            </c:ext>
          </c:extLst>
        </c:ser>
        <c:dLbls>
          <c:showLegendKey val="0"/>
          <c:showVal val="0"/>
          <c:showCatName val="0"/>
          <c:showSerName val="0"/>
          <c:showPercent val="0"/>
          <c:showBubbleSize val="0"/>
        </c:dLbls>
        <c:gapWidth val="50"/>
        <c:axId val="790678847"/>
        <c:axId val="778478415"/>
      </c:barChart>
      <c:catAx>
        <c:axId val="79067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778478415"/>
        <c:crosses val="autoZero"/>
        <c:auto val="1"/>
        <c:lblAlgn val="ctr"/>
        <c:lblOffset val="100"/>
        <c:noMultiLvlLbl val="0"/>
      </c:catAx>
      <c:valAx>
        <c:axId val="778478415"/>
        <c:scaling>
          <c:orientation val="minMax"/>
          <c:max val="1300"/>
          <c:min val="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790678847"/>
        <c:crosses val="autoZero"/>
        <c:crossBetween val="between"/>
      </c:valAx>
      <c:spPr>
        <a:noFill/>
        <a:ln>
          <a:noFill/>
        </a:ln>
        <a:effectLst/>
      </c:spPr>
    </c:plotArea>
    <c:legend>
      <c:legendPos val="b"/>
      <c:layout>
        <c:manualLayout>
          <c:xMode val="edge"/>
          <c:yMode val="edge"/>
          <c:x val="2.1944512287966284E-3"/>
          <c:y val="4.4326211575971629E-2"/>
          <c:w val="0.80761403516682118"/>
          <c:h val="0.26740121026538349"/>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103703944733508E-2"/>
          <c:y val="4.0239756360805151E-2"/>
          <c:w val="0.95589629605526649"/>
          <c:h val="0.94857442447213947"/>
        </c:manualLayout>
      </c:layout>
      <c:barChart>
        <c:barDir val="col"/>
        <c:grouping val="clustered"/>
        <c:varyColors val="0"/>
        <c:ser>
          <c:idx val="0"/>
          <c:order val="0"/>
          <c:tx>
            <c:strRef>
              <c:f>'RT Travel Other Regions'!$AR$29</c:f>
              <c:strCache>
                <c:ptCount val="1"/>
                <c:pt idx="0">
                  <c:v>SV-CV Period: Cost of Driving Alone Round-Trip @ 23¢/mile, the Authority's metric for fully-loaded auto costs</c:v>
                </c:pt>
              </c:strCache>
            </c:strRef>
          </c:tx>
          <c:spPr>
            <a:pattFill prst="pct5">
              <a:fgClr>
                <a:schemeClr val="accent1">
                  <a:lumMod val="75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Regions'!$AQ$30:$AQ$33</c:f>
              <c:strCache>
                <c:ptCount val="4"/>
                <c:pt idx="0">
                  <c:v>Redding-Fresno/                                          323miles</c:v>
                </c:pt>
                <c:pt idx="1">
                  <c:v>Redding-San Jose/                                  522miles</c:v>
                </c:pt>
                <c:pt idx="2">
                  <c:v>Redding-Los Angeles/                                      590miles</c:v>
                </c:pt>
                <c:pt idx="3">
                  <c:v>Redding-San Diego/                                          710miles</c:v>
                </c:pt>
              </c:strCache>
            </c:strRef>
          </c:cat>
          <c:val>
            <c:numRef>
              <c:f>'RT Travel Other Regions'!$AR$30:$AR$33</c:f>
              <c:numCache>
                <c:formatCode>"$"#,##0</c:formatCode>
                <c:ptCount val="4"/>
                <c:pt idx="0">
                  <c:v>152.72</c:v>
                </c:pt>
                <c:pt idx="1">
                  <c:v>115</c:v>
                </c:pt>
                <c:pt idx="2">
                  <c:v>251.16000000000003</c:v>
                </c:pt>
                <c:pt idx="3">
                  <c:v>305.44</c:v>
                </c:pt>
              </c:numCache>
            </c:numRef>
          </c:val>
          <c:extLst>
            <c:ext xmlns:c16="http://schemas.microsoft.com/office/drawing/2014/chart" uri="{C3380CC4-5D6E-409C-BE32-E72D297353CC}">
              <c16:uniqueId val="{00000000-F0F9-6F4A-812B-3F563D011259}"/>
            </c:ext>
          </c:extLst>
        </c:ser>
        <c:ser>
          <c:idx val="1"/>
          <c:order val="1"/>
          <c:tx>
            <c:strRef>
              <c:f>'RT Travel Other Regions'!$AS$29</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Regions'!$AQ$30:$AQ$33</c:f>
              <c:strCache>
                <c:ptCount val="4"/>
                <c:pt idx="0">
                  <c:v>Redding-Fresno/                                          323miles</c:v>
                </c:pt>
                <c:pt idx="1">
                  <c:v>Redding-San Jose/                                  522miles</c:v>
                </c:pt>
                <c:pt idx="2">
                  <c:v>Redding-Los Angeles/                                      590miles</c:v>
                </c:pt>
                <c:pt idx="3">
                  <c:v>Redding-San Diego/                                          710miles</c:v>
                </c:pt>
              </c:strCache>
            </c:strRef>
          </c:cat>
          <c:val>
            <c:numRef>
              <c:f>'RT Travel Other Regions'!$AS$30:$AS$33</c:f>
              <c:numCache>
                <c:formatCode>"$"#,##0</c:formatCode>
                <c:ptCount val="4"/>
                <c:pt idx="0">
                  <c:v>191</c:v>
                </c:pt>
                <c:pt idx="1">
                  <c:v>235</c:v>
                </c:pt>
                <c:pt idx="2">
                  <c:v>265</c:v>
                </c:pt>
                <c:pt idx="3">
                  <c:v>337</c:v>
                </c:pt>
              </c:numCache>
            </c:numRef>
          </c:val>
          <c:extLst>
            <c:ext xmlns:c16="http://schemas.microsoft.com/office/drawing/2014/chart" uri="{C3380CC4-5D6E-409C-BE32-E72D297353CC}">
              <c16:uniqueId val="{00000001-F0F9-6F4A-812B-3F563D011259}"/>
            </c:ext>
          </c:extLst>
        </c:ser>
        <c:ser>
          <c:idx val="2"/>
          <c:order val="2"/>
          <c:tx>
            <c:strRef>
              <c:f>'RT Travel Other Regions'!$AT$29</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Regions'!$AQ$30:$AQ$33</c:f>
              <c:strCache>
                <c:ptCount val="4"/>
                <c:pt idx="0">
                  <c:v>Redding-Fresno/                                          323miles</c:v>
                </c:pt>
                <c:pt idx="1">
                  <c:v>Redding-San Jose/                                  522miles</c:v>
                </c:pt>
                <c:pt idx="2">
                  <c:v>Redding-Los Angeles/                                      590miles</c:v>
                </c:pt>
                <c:pt idx="3">
                  <c:v>Redding-San Diego/                                          710miles</c:v>
                </c:pt>
              </c:strCache>
            </c:strRef>
          </c:cat>
          <c:val>
            <c:numRef>
              <c:f>'RT Travel Other Regions'!$AT$30:$AT$33</c:f>
              <c:numCache>
                <c:formatCode>"$"#,##0</c:formatCode>
                <c:ptCount val="4"/>
                <c:pt idx="0">
                  <c:v>585</c:v>
                </c:pt>
                <c:pt idx="1">
                  <c:v>695</c:v>
                </c:pt>
                <c:pt idx="2">
                  <c:v>297</c:v>
                </c:pt>
                <c:pt idx="3">
                  <c:v>478</c:v>
                </c:pt>
              </c:numCache>
            </c:numRef>
          </c:val>
          <c:extLst>
            <c:ext xmlns:c16="http://schemas.microsoft.com/office/drawing/2014/chart" uri="{C3380CC4-5D6E-409C-BE32-E72D297353CC}">
              <c16:uniqueId val="{00000002-F0F9-6F4A-812B-3F563D011259}"/>
            </c:ext>
          </c:extLst>
        </c:ser>
        <c:ser>
          <c:idx val="3"/>
          <c:order val="3"/>
          <c:tx>
            <c:strRef>
              <c:f>'RT Travel Other Regions'!$AU$29</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Regions'!$AQ$30:$AQ$33</c:f>
              <c:strCache>
                <c:ptCount val="4"/>
                <c:pt idx="0">
                  <c:v>Redding-Fresno/                                          323miles</c:v>
                </c:pt>
                <c:pt idx="1">
                  <c:v>Redding-San Jose/                                  522miles</c:v>
                </c:pt>
                <c:pt idx="2">
                  <c:v>Redding-Los Angeles/                                      590miles</c:v>
                </c:pt>
                <c:pt idx="3">
                  <c:v>Redding-San Diego/                                          710miles</c:v>
                </c:pt>
              </c:strCache>
            </c:strRef>
          </c:cat>
          <c:val>
            <c:numRef>
              <c:f>'RT Travel Other Regions'!$AU$30:$AU$33</c:f>
              <c:numCache>
                <c:formatCode>#,##0</c:formatCode>
                <c:ptCount val="4"/>
                <c:pt idx="0">
                  <c:v>321.20000000000005</c:v>
                </c:pt>
                <c:pt idx="1">
                  <c:v>602.80000000000007</c:v>
                </c:pt>
                <c:pt idx="2">
                  <c:v>391.60000000000014</c:v>
                </c:pt>
                <c:pt idx="3">
                  <c:v>559.30000000000018</c:v>
                </c:pt>
              </c:numCache>
            </c:numRef>
          </c:val>
          <c:extLst>
            <c:ext xmlns:c16="http://schemas.microsoft.com/office/drawing/2014/chart" uri="{C3380CC4-5D6E-409C-BE32-E72D297353CC}">
              <c16:uniqueId val="{00000003-F0F9-6F4A-812B-3F563D011259}"/>
            </c:ext>
          </c:extLst>
        </c:ser>
        <c:ser>
          <c:idx val="4"/>
          <c:order val="4"/>
          <c:tx>
            <c:strRef>
              <c:f>'RT Travel Other Regions'!$AV$29</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Regions'!$AQ$30:$AQ$33</c:f>
              <c:strCache>
                <c:ptCount val="4"/>
                <c:pt idx="0">
                  <c:v>Redding-Fresno/                                          323miles</c:v>
                </c:pt>
                <c:pt idx="1">
                  <c:v>Redding-San Jose/                                  522miles</c:v>
                </c:pt>
                <c:pt idx="2">
                  <c:v>Redding-Los Angeles/                                      590miles</c:v>
                </c:pt>
                <c:pt idx="3">
                  <c:v>Redding-San Diego/                                          710miles</c:v>
                </c:pt>
              </c:strCache>
            </c:strRef>
          </c:cat>
          <c:val>
            <c:numRef>
              <c:f>'RT Travel Other Regions'!$AV$30:$AV$33</c:f>
              <c:numCache>
                <c:formatCode>#,##0</c:formatCode>
                <c:ptCount val="4"/>
                <c:pt idx="0">
                  <c:v>378</c:v>
                </c:pt>
                <c:pt idx="1">
                  <c:v>-194</c:v>
                </c:pt>
                <c:pt idx="2">
                  <c:v>854</c:v>
                </c:pt>
                <c:pt idx="3">
                  <c:v>1264</c:v>
                </c:pt>
              </c:numCache>
            </c:numRef>
          </c:val>
          <c:extLst>
            <c:ext xmlns:c16="http://schemas.microsoft.com/office/drawing/2014/chart" uri="{C3380CC4-5D6E-409C-BE32-E72D297353CC}">
              <c16:uniqueId val="{00000004-F0F9-6F4A-812B-3F563D011259}"/>
            </c:ext>
          </c:extLst>
        </c:ser>
        <c:dLbls>
          <c:showLegendKey val="0"/>
          <c:showVal val="0"/>
          <c:showCatName val="0"/>
          <c:showSerName val="0"/>
          <c:showPercent val="0"/>
          <c:showBubbleSize val="0"/>
        </c:dLbls>
        <c:gapWidth val="50"/>
        <c:axId val="661601855"/>
        <c:axId val="823647247"/>
      </c:barChart>
      <c:catAx>
        <c:axId val="66160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823647247"/>
        <c:crosses val="autoZero"/>
        <c:auto val="1"/>
        <c:lblAlgn val="ctr"/>
        <c:lblOffset val="100"/>
        <c:noMultiLvlLbl val="0"/>
      </c:catAx>
      <c:valAx>
        <c:axId val="823647247"/>
        <c:scaling>
          <c:orientation val="minMax"/>
          <c:max val="15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661601855"/>
        <c:crosses val="autoZero"/>
        <c:crossBetween val="between"/>
      </c:valAx>
      <c:spPr>
        <a:noFill/>
        <a:ln>
          <a:noFill/>
        </a:ln>
        <a:effectLst/>
      </c:spPr>
    </c:plotArea>
    <c:legend>
      <c:legendPos val="b"/>
      <c:layout>
        <c:manualLayout>
          <c:xMode val="edge"/>
          <c:yMode val="edge"/>
          <c:x val="0"/>
          <c:y val="7.5495255198967715E-2"/>
          <c:w val="0.8704289162532074"/>
          <c:h val="0.277207007670627"/>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3535549812556E-2"/>
          <c:y val="4.1332791697227388E-2"/>
          <c:w val="0.95476464450187448"/>
          <c:h val="0.88366697900489455"/>
        </c:manualLayout>
      </c:layout>
      <c:barChart>
        <c:barDir val="col"/>
        <c:grouping val="clustered"/>
        <c:varyColors val="0"/>
        <c:ser>
          <c:idx val="0"/>
          <c:order val="0"/>
          <c:tx>
            <c:strRef>
              <c:f>'RT Travel Other Regions'!$AR$39</c:f>
              <c:strCache>
                <c:ptCount val="1"/>
                <c:pt idx="0">
                  <c:v>SV-CV Period: Cost of Driving Alone Round-Trip @ 23¢/mile, the Authority's metric for fully-loaded auto costs</c:v>
                </c:pt>
              </c:strCache>
            </c:strRef>
          </c:tx>
          <c:spPr>
            <a:pattFill prst="pct5">
              <a:fgClr>
                <a:schemeClr val="accent1">
                  <a:lumMod val="75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Regions'!$AQ$40:$AQ$43</c:f>
              <c:strCache>
                <c:ptCount val="4"/>
                <c:pt idx="0">
                  <c:v>South Lake Tahoe-Fresno/                                      274miles</c:v>
                </c:pt>
                <c:pt idx="1">
                  <c:v>South Lake Tahoe-San Jose/                               425miles</c:v>
                </c:pt>
                <c:pt idx="2">
                  <c:v>South Lake Tahoe-Los Angeles/                              541miles</c:v>
                </c:pt>
                <c:pt idx="3">
                  <c:v>South Lake-San Diego/                                         661miles</c:v>
                </c:pt>
              </c:strCache>
            </c:strRef>
          </c:cat>
          <c:val>
            <c:numRef>
              <c:f>'RT Travel Other Regions'!$AR$40:$AR$43</c:f>
              <c:numCache>
                <c:formatCode>"$"#,##0</c:formatCode>
                <c:ptCount val="4"/>
                <c:pt idx="0">
                  <c:v>123.28</c:v>
                </c:pt>
                <c:pt idx="1">
                  <c:v>101.66000000000001</c:v>
                </c:pt>
                <c:pt idx="2">
                  <c:v>203.78</c:v>
                </c:pt>
                <c:pt idx="3">
                  <c:v>243.34</c:v>
                </c:pt>
              </c:numCache>
            </c:numRef>
          </c:val>
          <c:extLst>
            <c:ext xmlns:c16="http://schemas.microsoft.com/office/drawing/2014/chart" uri="{C3380CC4-5D6E-409C-BE32-E72D297353CC}">
              <c16:uniqueId val="{00000000-9E5A-3042-9218-18BB31308474}"/>
            </c:ext>
          </c:extLst>
        </c:ser>
        <c:ser>
          <c:idx val="1"/>
          <c:order val="1"/>
          <c:tx>
            <c:strRef>
              <c:f>'RT Travel Other Regions'!$AS$39</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Regions'!$AQ$40:$AQ$43</c:f>
              <c:strCache>
                <c:ptCount val="4"/>
                <c:pt idx="0">
                  <c:v>South Lake Tahoe-Fresno/                                      274miles</c:v>
                </c:pt>
                <c:pt idx="1">
                  <c:v>South Lake Tahoe-San Jose/                               425miles</c:v>
                </c:pt>
                <c:pt idx="2">
                  <c:v>South Lake Tahoe-Los Angeles/                              541miles</c:v>
                </c:pt>
                <c:pt idx="3">
                  <c:v>South Lake-San Diego/                                         661miles</c:v>
                </c:pt>
              </c:strCache>
            </c:strRef>
          </c:cat>
          <c:val>
            <c:numRef>
              <c:f>'RT Travel Other Regions'!$AS$40:$AS$43</c:f>
              <c:numCache>
                <c:formatCode>"$"#,##0</c:formatCode>
                <c:ptCount val="4"/>
                <c:pt idx="0">
                  <c:v>183</c:v>
                </c:pt>
                <c:pt idx="1">
                  <c:v>227</c:v>
                </c:pt>
                <c:pt idx="2">
                  <c:v>257</c:v>
                </c:pt>
                <c:pt idx="3">
                  <c:v>329</c:v>
                </c:pt>
              </c:numCache>
            </c:numRef>
          </c:val>
          <c:extLst>
            <c:ext xmlns:c16="http://schemas.microsoft.com/office/drawing/2014/chart" uri="{C3380CC4-5D6E-409C-BE32-E72D297353CC}">
              <c16:uniqueId val="{00000001-9E5A-3042-9218-18BB31308474}"/>
            </c:ext>
          </c:extLst>
        </c:ser>
        <c:ser>
          <c:idx val="2"/>
          <c:order val="2"/>
          <c:tx>
            <c:strRef>
              <c:f>'RT Travel Other Regions'!$AT$39</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Regions'!$AQ$40:$AQ$43</c:f>
              <c:strCache>
                <c:ptCount val="4"/>
                <c:pt idx="0">
                  <c:v>South Lake Tahoe-Fresno/                                      274miles</c:v>
                </c:pt>
                <c:pt idx="1">
                  <c:v>South Lake Tahoe-San Jose/                               425miles</c:v>
                </c:pt>
                <c:pt idx="2">
                  <c:v>South Lake Tahoe-Los Angeles/                              541miles</c:v>
                </c:pt>
                <c:pt idx="3">
                  <c:v>South Lake-San Diego/                                         661miles</c:v>
                </c:pt>
              </c:strCache>
            </c:strRef>
          </c:cat>
          <c:val>
            <c:numRef>
              <c:f>'RT Travel Other Regions'!$AT$40:$AT$43</c:f>
              <c:numCache>
                <c:formatCode>"$"#,##0</c:formatCode>
                <c:ptCount val="4"/>
                <c:pt idx="0">
                  <c:v>560</c:v>
                </c:pt>
                <c:pt idx="1">
                  <c:v>267</c:v>
                </c:pt>
                <c:pt idx="2">
                  <c:v>354</c:v>
                </c:pt>
                <c:pt idx="3">
                  <c:v>418</c:v>
                </c:pt>
              </c:numCache>
            </c:numRef>
          </c:val>
          <c:extLst>
            <c:ext xmlns:c16="http://schemas.microsoft.com/office/drawing/2014/chart" uri="{C3380CC4-5D6E-409C-BE32-E72D297353CC}">
              <c16:uniqueId val="{00000002-9E5A-3042-9218-18BB31308474}"/>
            </c:ext>
          </c:extLst>
        </c:ser>
        <c:ser>
          <c:idx val="3"/>
          <c:order val="3"/>
          <c:tx>
            <c:strRef>
              <c:f>'RT Travel Other Regions'!$AU$39</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Regions'!$AQ$40:$AQ$43</c:f>
              <c:strCache>
                <c:ptCount val="4"/>
                <c:pt idx="0">
                  <c:v>South Lake Tahoe-Fresno/                                      274miles</c:v>
                </c:pt>
                <c:pt idx="1">
                  <c:v>South Lake Tahoe-San Jose/                               425miles</c:v>
                </c:pt>
                <c:pt idx="2">
                  <c:v>South Lake Tahoe-Los Angeles/                              541miles</c:v>
                </c:pt>
                <c:pt idx="3">
                  <c:v>South Lake-San Diego/                                         661miles</c:v>
                </c:pt>
              </c:strCache>
            </c:strRef>
          </c:cat>
          <c:val>
            <c:numRef>
              <c:f>'RT Travel Other Regions'!$AU$40:$AU$43</c:f>
              <c:numCache>
                <c:formatCode>#,##0</c:formatCode>
                <c:ptCount val="4"/>
                <c:pt idx="0">
                  <c:v>410.1</c:v>
                </c:pt>
                <c:pt idx="1">
                  <c:v>592.80000000000007</c:v>
                </c:pt>
                <c:pt idx="2">
                  <c:v>452.90000000000009</c:v>
                </c:pt>
                <c:pt idx="3">
                  <c:v>650.5</c:v>
                </c:pt>
              </c:numCache>
            </c:numRef>
          </c:val>
          <c:extLst>
            <c:ext xmlns:c16="http://schemas.microsoft.com/office/drawing/2014/chart" uri="{C3380CC4-5D6E-409C-BE32-E72D297353CC}">
              <c16:uniqueId val="{00000003-9E5A-3042-9218-18BB31308474}"/>
            </c:ext>
          </c:extLst>
        </c:ser>
        <c:ser>
          <c:idx val="4"/>
          <c:order val="4"/>
          <c:tx>
            <c:strRef>
              <c:f>'RT Travel Other Regions'!$AV$39</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Regions'!$AQ$40:$AQ$43</c:f>
              <c:strCache>
                <c:ptCount val="4"/>
                <c:pt idx="0">
                  <c:v>South Lake Tahoe-Fresno/                                      274miles</c:v>
                </c:pt>
                <c:pt idx="1">
                  <c:v>South Lake Tahoe-San Jose/                               425miles</c:v>
                </c:pt>
                <c:pt idx="2">
                  <c:v>South Lake Tahoe-Los Angeles/                              541miles</c:v>
                </c:pt>
                <c:pt idx="3">
                  <c:v>South Lake-San Diego/                                         661miles</c:v>
                </c:pt>
              </c:strCache>
            </c:strRef>
          </c:cat>
          <c:val>
            <c:numRef>
              <c:f>'RT Travel Other Regions'!$AV$40:$AV$43</c:f>
              <c:numCache>
                <c:formatCode>#,##0</c:formatCode>
                <c:ptCount val="4"/>
                <c:pt idx="0">
                  <c:v>466</c:v>
                </c:pt>
                <c:pt idx="1">
                  <c:v>760</c:v>
                </c:pt>
                <c:pt idx="2">
                  <c:v>1062</c:v>
                </c:pt>
                <c:pt idx="3">
                  <c:v>1252</c:v>
                </c:pt>
              </c:numCache>
            </c:numRef>
          </c:val>
          <c:extLst>
            <c:ext xmlns:c16="http://schemas.microsoft.com/office/drawing/2014/chart" uri="{C3380CC4-5D6E-409C-BE32-E72D297353CC}">
              <c16:uniqueId val="{00000004-9E5A-3042-9218-18BB31308474}"/>
            </c:ext>
          </c:extLst>
        </c:ser>
        <c:dLbls>
          <c:showLegendKey val="0"/>
          <c:showVal val="0"/>
          <c:showCatName val="0"/>
          <c:showSerName val="0"/>
          <c:showPercent val="0"/>
          <c:showBubbleSize val="0"/>
        </c:dLbls>
        <c:gapWidth val="50"/>
        <c:axId val="736020063"/>
        <c:axId val="794034319"/>
      </c:barChart>
      <c:catAx>
        <c:axId val="736020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794034319"/>
        <c:crosses val="autoZero"/>
        <c:auto val="1"/>
        <c:lblAlgn val="ctr"/>
        <c:lblOffset val="100"/>
        <c:noMultiLvlLbl val="0"/>
      </c:catAx>
      <c:valAx>
        <c:axId val="794034319"/>
        <c:scaling>
          <c:orientation val="minMax"/>
          <c:max val="155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736020063"/>
        <c:crosses val="autoZero"/>
        <c:crossBetween val="between"/>
      </c:valAx>
      <c:spPr>
        <a:noFill/>
        <a:ln>
          <a:noFill/>
        </a:ln>
        <a:effectLst/>
      </c:spPr>
    </c:plotArea>
    <c:legend>
      <c:legendPos val="b"/>
      <c:layout>
        <c:manualLayout>
          <c:xMode val="edge"/>
          <c:yMode val="edge"/>
          <c:x val="1.2785162575101069E-3"/>
          <c:y val="3.3971477407386201E-2"/>
          <c:w val="0.85058343956278337"/>
          <c:h val="0.25418802527502993"/>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34251968503935E-2"/>
          <c:y val="5.0925925925925923E-2"/>
          <c:w val="0.9442657480314961"/>
          <c:h val="0.85666666666666669"/>
        </c:manualLayout>
      </c:layout>
      <c:barChart>
        <c:barDir val="col"/>
        <c:grouping val="clustered"/>
        <c:varyColors val="0"/>
        <c:ser>
          <c:idx val="0"/>
          <c:order val="0"/>
          <c:tx>
            <c:strRef>
              <c:f>'RT Travel Other Regions'!$AR$49</c:f>
              <c:strCache>
                <c:ptCount val="1"/>
                <c:pt idx="0">
                  <c:v>SV-CV Period: Cost of Driving Alone Round-Trip @ 23¢/mile, the Authority's metric for fully-loaded auto costs</c:v>
                </c:pt>
              </c:strCache>
            </c:strRef>
          </c:tx>
          <c:spPr>
            <a:pattFill prst="pct5">
              <a:fgClr>
                <a:schemeClr val="accent1">
                  <a:lumMod val="75000"/>
                </a:schemeClr>
              </a:fgClr>
              <a:bgClr>
                <a:srgbClr val="000090"/>
              </a:bgClr>
            </a:pattFill>
            <a:ln>
              <a:noFill/>
            </a:ln>
            <a:effectLst/>
          </c:spPr>
          <c:invertIfNegative val="0"/>
          <c:dLbls>
            <c:dLbl>
              <c:idx val="0"/>
              <c:layout>
                <c:manualLayout>
                  <c:x val="0"/>
                  <c:y val="6.0294366244801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AD-BB49-A108-BE1CB9BE6FF4}"/>
                </c:ext>
              </c:extLst>
            </c:dLbl>
            <c:dLbl>
              <c:idx val="1"/>
              <c:layout>
                <c:manualLayout>
                  <c:x val="-3.9324472133186624E-17"/>
                  <c:y val="5.16558101270102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AD-BB49-A108-BE1CB9BE6FF4}"/>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Regions'!$AQ$50:$AQ$53</c:f>
              <c:strCache>
                <c:ptCount val="4"/>
                <c:pt idx="0">
                  <c:v>Yosemite Valley-Bakersfield/                            200miles</c:v>
                </c:pt>
                <c:pt idx="1">
                  <c:v>Yosemite Valley-Sacramento/                               265miles</c:v>
                </c:pt>
                <c:pt idx="2">
                  <c:v>Yosemite Valley-San Francisco/                                      292miles</c:v>
                </c:pt>
                <c:pt idx="3">
                  <c:v>Yosemite Valley-Los Angeles/                                    360miles</c:v>
                </c:pt>
              </c:strCache>
            </c:strRef>
          </c:cat>
          <c:val>
            <c:numRef>
              <c:f>'RT Travel Other Regions'!$AR$50:$AR$53</c:f>
              <c:numCache>
                <c:formatCode>"$"#,##0</c:formatCode>
                <c:ptCount val="4"/>
                <c:pt idx="0">
                  <c:v>93.38000000000001</c:v>
                </c:pt>
                <c:pt idx="1">
                  <c:v>75.44</c:v>
                </c:pt>
                <c:pt idx="2">
                  <c:v>86.48</c:v>
                </c:pt>
                <c:pt idx="3">
                  <c:v>144.44</c:v>
                </c:pt>
              </c:numCache>
            </c:numRef>
          </c:val>
          <c:extLst>
            <c:ext xmlns:c16="http://schemas.microsoft.com/office/drawing/2014/chart" uri="{C3380CC4-5D6E-409C-BE32-E72D297353CC}">
              <c16:uniqueId val="{00000000-70AD-BB49-A108-BE1CB9BE6FF4}"/>
            </c:ext>
          </c:extLst>
        </c:ser>
        <c:ser>
          <c:idx val="1"/>
          <c:order val="1"/>
          <c:tx>
            <c:strRef>
              <c:f>'RT Travel Other Regions'!$AS$49</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Regions'!$AQ$50:$AQ$53</c:f>
              <c:strCache>
                <c:ptCount val="4"/>
                <c:pt idx="0">
                  <c:v>Yosemite Valley-Bakersfield/                            200miles</c:v>
                </c:pt>
                <c:pt idx="1">
                  <c:v>Yosemite Valley-Sacramento/                               265miles</c:v>
                </c:pt>
                <c:pt idx="2">
                  <c:v>Yosemite Valley-San Francisco/                                      292miles</c:v>
                </c:pt>
                <c:pt idx="3">
                  <c:v>Yosemite Valley-Los Angeles/                                    360miles</c:v>
                </c:pt>
              </c:strCache>
            </c:strRef>
          </c:cat>
          <c:val>
            <c:numRef>
              <c:f>'RT Travel Other Regions'!$AS$50:$AS$53</c:f>
              <c:numCache>
                <c:formatCode>"$"#,##0</c:formatCode>
                <c:ptCount val="4"/>
                <c:pt idx="0">
                  <c:v>187</c:v>
                </c:pt>
                <c:pt idx="1">
                  <c:v>163</c:v>
                </c:pt>
                <c:pt idx="2">
                  <c:v>211</c:v>
                </c:pt>
                <c:pt idx="3">
                  <c:v>207</c:v>
                </c:pt>
              </c:numCache>
            </c:numRef>
          </c:val>
          <c:extLst>
            <c:ext xmlns:c16="http://schemas.microsoft.com/office/drawing/2014/chart" uri="{C3380CC4-5D6E-409C-BE32-E72D297353CC}">
              <c16:uniqueId val="{00000001-70AD-BB49-A108-BE1CB9BE6FF4}"/>
            </c:ext>
          </c:extLst>
        </c:ser>
        <c:ser>
          <c:idx val="2"/>
          <c:order val="2"/>
          <c:tx>
            <c:strRef>
              <c:f>'RT Travel Other Regions'!$AT$49</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Regions'!$AQ$50:$AQ$53</c:f>
              <c:strCache>
                <c:ptCount val="4"/>
                <c:pt idx="0">
                  <c:v>Yosemite Valley-Bakersfield/                            200miles</c:v>
                </c:pt>
                <c:pt idx="1">
                  <c:v>Yosemite Valley-Sacramento/                               265miles</c:v>
                </c:pt>
                <c:pt idx="2">
                  <c:v>Yosemite Valley-San Francisco/                                      292miles</c:v>
                </c:pt>
                <c:pt idx="3">
                  <c:v>Yosemite Valley-Los Angeles/                                    360miles</c:v>
                </c:pt>
              </c:strCache>
            </c:strRef>
          </c:cat>
          <c:val>
            <c:numRef>
              <c:f>'RT Travel Other Regions'!$AT$50:$AT$53</c:f>
              <c:numCache>
                <c:formatCode>"$"#,##0</c:formatCode>
                <c:ptCount val="4"/>
                <c:pt idx="0">
                  <c:v>624</c:v>
                </c:pt>
                <c:pt idx="1">
                  <c:v>564</c:v>
                </c:pt>
                <c:pt idx="2">
                  <c:v>577</c:v>
                </c:pt>
                <c:pt idx="3">
                  <c:v>427</c:v>
                </c:pt>
              </c:numCache>
            </c:numRef>
          </c:val>
          <c:extLst>
            <c:ext xmlns:c16="http://schemas.microsoft.com/office/drawing/2014/chart" uri="{C3380CC4-5D6E-409C-BE32-E72D297353CC}">
              <c16:uniqueId val="{00000002-70AD-BB49-A108-BE1CB9BE6FF4}"/>
            </c:ext>
          </c:extLst>
        </c:ser>
        <c:ser>
          <c:idx val="3"/>
          <c:order val="3"/>
          <c:tx>
            <c:strRef>
              <c:f>'RT Travel Other Regions'!$AU$49</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Regions'!$AQ$50:$AQ$53</c:f>
              <c:strCache>
                <c:ptCount val="4"/>
                <c:pt idx="0">
                  <c:v>Yosemite Valley-Bakersfield/                            200miles</c:v>
                </c:pt>
                <c:pt idx="1">
                  <c:v>Yosemite Valley-Sacramento/                               265miles</c:v>
                </c:pt>
                <c:pt idx="2">
                  <c:v>Yosemite Valley-San Francisco/                                      292miles</c:v>
                </c:pt>
                <c:pt idx="3">
                  <c:v>Yosemite Valley-Los Angeles/                                    360miles</c:v>
                </c:pt>
              </c:strCache>
            </c:strRef>
          </c:cat>
          <c:val>
            <c:numRef>
              <c:f>'RT Travel Other Regions'!$AU$50:$AU$53</c:f>
              <c:numCache>
                <c:formatCode>#,##0</c:formatCode>
                <c:ptCount val="4"/>
                <c:pt idx="0">
                  <c:v>280.70000000000005</c:v>
                </c:pt>
                <c:pt idx="1">
                  <c:v>759.8</c:v>
                </c:pt>
                <c:pt idx="2">
                  <c:v>426.20000000000005</c:v>
                </c:pt>
                <c:pt idx="3">
                  <c:v>384.6</c:v>
                </c:pt>
              </c:numCache>
            </c:numRef>
          </c:val>
          <c:extLst>
            <c:ext xmlns:c16="http://schemas.microsoft.com/office/drawing/2014/chart" uri="{C3380CC4-5D6E-409C-BE32-E72D297353CC}">
              <c16:uniqueId val="{00000003-70AD-BB49-A108-BE1CB9BE6FF4}"/>
            </c:ext>
          </c:extLst>
        </c:ser>
        <c:ser>
          <c:idx val="4"/>
          <c:order val="4"/>
          <c:tx>
            <c:strRef>
              <c:f>'RT Travel Other Regions'!$AV$49</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Regions'!$AQ$50:$AQ$53</c:f>
              <c:strCache>
                <c:ptCount val="4"/>
                <c:pt idx="0">
                  <c:v>Yosemite Valley-Bakersfield/                            200miles</c:v>
                </c:pt>
                <c:pt idx="1">
                  <c:v>Yosemite Valley-Sacramento/                               265miles</c:v>
                </c:pt>
                <c:pt idx="2">
                  <c:v>Yosemite Valley-San Francisco/                                      292miles</c:v>
                </c:pt>
                <c:pt idx="3">
                  <c:v>Yosemite Valley-Los Angeles/                                    360miles</c:v>
                </c:pt>
              </c:strCache>
            </c:strRef>
          </c:cat>
          <c:val>
            <c:numRef>
              <c:f>'RT Travel Other Regions'!$AV$50:$AV$53</c:f>
              <c:numCache>
                <c:formatCode>#,##0</c:formatCode>
                <c:ptCount val="4"/>
                <c:pt idx="0">
                  <c:v>140</c:v>
                </c:pt>
                <c:pt idx="1">
                  <c:v>580</c:v>
                </c:pt>
                <c:pt idx="2">
                  <c:v>594</c:v>
                </c:pt>
                <c:pt idx="3">
                  <c:v>782</c:v>
                </c:pt>
              </c:numCache>
            </c:numRef>
          </c:val>
          <c:extLst>
            <c:ext xmlns:c16="http://schemas.microsoft.com/office/drawing/2014/chart" uri="{C3380CC4-5D6E-409C-BE32-E72D297353CC}">
              <c16:uniqueId val="{00000004-70AD-BB49-A108-BE1CB9BE6FF4}"/>
            </c:ext>
          </c:extLst>
        </c:ser>
        <c:dLbls>
          <c:showLegendKey val="0"/>
          <c:showVal val="0"/>
          <c:showCatName val="0"/>
          <c:showSerName val="0"/>
          <c:showPercent val="0"/>
          <c:showBubbleSize val="0"/>
        </c:dLbls>
        <c:gapWidth val="50"/>
        <c:axId val="771899103"/>
        <c:axId val="794620911"/>
      </c:barChart>
      <c:catAx>
        <c:axId val="771899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794620911"/>
        <c:crosses val="autoZero"/>
        <c:auto val="1"/>
        <c:lblAlgn val="ctr"/>
        <c:lblOffset val="100"/>
        <c:noMultiLvlLbl val="0"/>
      </c:catAx>
      <c:valAx>
        <c:axId val="794620911"/>
        <c:scaling>
          <c:orientation val="minMax"/>
          <c:max val="1550"/>
          <c:min val="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771899103"/>
        <c:crosses val="autoZero"/>
        <c:crossBetween val="between"/>
      </c:valAx>
      <c:spPr>
        <a:noFill/>
        <a:ln>
          <a:noFill/>
        </a:ln>
        <a:effectLst/>
      </c:spPr>
    </c:plotArea>
    <c:legend>
      <c:legendPos val="b"/>
      <c:layout>
        <c:manualLayout>
          <c:xMode val="edge"/>
          <c:yMode val="edge"/>
          <c:x val="2.1944420435745762E-3"/>
          <c:y val="5.7020791620180075E-2"/>
          <c:w val="0.84361056924746736"/>
          <c:h val="0.29980861767279088"/>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34251968503935E-2"/>
          <c:y val="5.0925925925925923E-2"/>
          <c:w val="0.93433070866141732"/>
          <c:h val="0.82275444736074654"/>
        </c:manualLayout>
      </c:layout>
      <c:barChart>
        <c:barDir val="col"/>
        <c:grouping val="clustered"/>
        <c:varyColors val="0"/>
        <c:ser>
          <c:idx val="0"/>
          <c:order val="0"/>
          <c:tx>
            <c:strRef>
              <c:f>'RT Travel Other Regions'!$AR$70</c:f>
              <c:strCache>
                <c:ptCount val="1"/>
                <c:pt idx="0">
                  <c:v>SV-CV Period: Cost of Driving Alone Round-Trip @ 23¢/mile, the Authority's metric for fully-loaded auto costs</c:v>
                </c:pt>
              </c:strCache>
            </c:strRef>
          </c:tx>
          <c:spPr>
            <a:pattFill prst="pct5">
              <a:fgClr>
                <a:schemeClr val="accent1">
                  <a:lumMod val="75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Regions'!$AQ$71:$AQ$75</c:f>
              <c:strCache>
                <c:ptCount val="5"/>
                <c:pt idx="0">
                  <c:v>Monterey-South Lake Tahoe/                            499miles</c:v>
                </c:pt>
                <c:pt idx="1">
                  <c:v>Monterey-Redding/                                        556miles</c:v>
                </c:pt>
                <c:pt idx="2">
                  <c:v>Monterey-Santa Barbara/                   585miles</c:v>
                </c:pt>
                <c:pt idx="3">
                  <c:v>Santa Barbara-S. Lake Tahoe/                             638miles</c:v>
                </c:pt>
                <c:pt idx="4">
                  <c:v>Santa Barbara-Redding/                                  695miles</c:v>
                </c:pt>
              </c:strCache>
            </c:strRef>
          </c:cat>
          <c:val>
            <c:numRef>
              <c:f>'RT Travel Other Regions'!$AR$71:$AR$75</c:f>
              <c:numCache>
                <c:formatCode>"$"#,##0</c:formatCode>
                <c:ptCount val="5"/>
                <c:pt idx="0">
                  <c:v>131.56</c:v>
                </c:pt>
                <c:pt idx="1">
                  <c:v>144.9</c:v>
                </c:pt>
                <c:pt idx="2">
                  <c:v>108.56</c:v>
                </c:pt>
                <c:pt idx="3">
                  <c:v>224.02</c:v>
                </c:pt>
                <c:pt idx="4">
                  <c:v>240.12</c:v>
                </c:pt>
              </c:numCache>
            </c:numRef>
          </c:val>
          <c:extLst>
            <c:ext xmlns:c16="http://schemas.microsoft.com/office/drawing/2014/chart" uri="{C3380CC4-5D6E-409C-BE32-E72D297353CC}">
              <c16:uniqueId val="{00000000-93A3-5D47-8575-35A899A663D8}"/>
            </c:ext>
          </c:extLst>
        </c:ser>
        <c:ser>
          <c:idx val="1"/>
          <c:order val="1"/>
          <c:tx>
            <c:strRef>
              <c:f>'RT Travel Other Regions'!$AS$70</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Regions'!$AQ$71:$AQ$75</c:f>
              <c:strCache>
                <c:ptCount val="5"/>
                <c:pt idx="0">
                  <c:v>Monterey-South Lake Tahoe/                            499miles</c:v>
                </c:pt>
                <c:pt idx="1">
                  <c:v>Monterey-Redding/                                        556miles</c:v>
                </c:pt>
                <c:pt idx="2">
                  <c:v>Monterey-Santa Barbara/                   585miles</c:v>
                </c:pt>
                <c:pt idx="3">
                  <c:v>Santa Barbara-S. Lake Tahoe/                             638miles</c:v>
                </c:pt>
                <c:pt idx="4">
                  <c:v>Santa Barbara-Redding/                                  695miles</c:v>
                </c:pt>
              </c:strCache>
            </c:strRef>
          </c:cat>
          <c:val>
            <c:numRef>
              <c:f>'RT Travel Other Regions'!$AS$71:$AS$75</c:f>
              <c:numCache>
                <c:formatCode>"$"#,##0</c:formatCode>
                <c:ptCount val="5"/>
                <c:pt idx="0">
                  <c:v>273</c:v>
                </c:pt>
                <c:pt idx="1">
                  <c:v>269</c:v>
                </c:pt>
                <c:pt idx="2">
                  <c:v>269</c:v>
                </c:pt>
                <c:pt idx="3">
                  <c:v>283</c:v>
                </c:pt>
                <c:pt idx="4">
                  <c:v>291</c:v>
                </c:pt>
              </c:numCache>
            </c:numRef>
          </c:val>
          <c:extLst>
            <c:ext xmlns:c16="http://schemas.microsoft.com/office/drawing/2014/chart" uri="{C3380CC4-5D6E-409C-BE32-E72D297353CC}">
              <c16:uniqueId val="{00000001-93A3-5D47-8575-35A899A663D8}"/>
            </c:ext>
          </c:extLst>
        </c:ser>
        <c:ser>
          <c:idx val="2"/>
          <c:order val="2"/>
          <c:tx>
            <c:strRef>
              <c:f>'RT Travel Other Regions'!$AT$70</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Regions'!$AQ$71:$AQ$75</c:f>
              <c:strCache>
                <c:ptCount val="5"/>
                <c:pt idx="0">
                  <c:v>Monterey-South Lake Tahoe/                            499miles</c:v>
                </c:pt>
                <c:pt idx="1">
                  <c:v>Monterey-Redding/                                        556miles</c:v>
                </c:pt>
                <c:pt idx="2">
                  <c:v>Monterey-Santa Barbara/                   585miles</c:v>
                </c:pt>
                <c:pt idx="3">
                  <c:v>Santa Barbara-S. Lake Tahoe/                             638miles</c:v>
                </c:pt>
                <c:pt idx="4">
                  <c:v>Santa Barbara-Redding/                                  695miles</c:v>
                </c:pt>
              </c:strCache>
            </c:strRef>
          </c:cat>
          <c:val>
            <c:numRef>
              <c:f>'RT Travel Other Regions'!$AT$71:$AT$75</c:f>
              <c:numCache>
                <c:formatCode>"$"#,##0</c:formatCode>
                <c:ptCount val="5"/>
                <c:pt idx="0">
                  <c:v>650</c:v>
                </c:pt>
                <c:pt idx="1">
                  <c:v>771</c:v>
                </c:pt>
                <c:pt idx="2">
                  <c:v>320</c:v>
                </c:pt>
                <c:pt idx="3">
                  <c:v>570</c:v>
                </c:pt>
                <c:pt idx="4">
                  <c:v>587</c:v>
                </c:pt>
              </c:numCache>
            </c:numRef>
          </c:val>
          <c:extLst>
            <c:ext xmlns:c16="http://schemas.microsoft.com/office/drawing/2014/chart" uri="{C3380CC4-5D6E-409C-BE32-E72D297353CC}">
              <c16:uniqueId val="{00000002-93A3-5D47-8575-35A899A663D8}"/>
            </c:ext>
          </c:extLst>
        </c:ser>
        <c:ser>
          <c:idx val="3"/>
          <c:order val="3"/>
          <c:tx>
            <c:strRef>
              <c:f>'RT Travel Other Regions'!$AU$70</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Regions'!$AQ$71:$AQ$75</c:f>
              <c:strCache>
                <c:ptCount val="5"/>
                <c:pt idx="0">
                  <c:v>Monterey-South Lake Tahoe/                            499miles</c:v>
                </c:pt>
                <c:pt idx="1">
                  <c:v>Monterey-Redding/                                        556miles</c:v>
                </c:pt>
                <c:pt idx="2">
                  <c:v>Monterey-Santa Barbara/                   585miles</c:v>
                </c:pt>
                <c:pt idx="3">
                  <c:v>Santa Barbara-S. Lake Tahoe/                             638miles</c:v>
                </c:pt>
                <c:pt idx="4">
                  <c:v>Santa Barbara-Redding/                                  695miles</c:v>
                </c:pt>
              </c:strCache>
            </c:strRef>
          </c:cat>
          <c:val>
            <c:numRef>
              <c:f>'RT Travel Other Regions'!$AU$71:$AU$75</c:f>
              <c:numCache>
                <c:formatCode>#,##0</c:formatCode>
                <c:ptCount val="5"/>
                <c:pt idx="0">
                  <c:v>778.30000000000007</c:v>
                </c:pt>
                <c:pt idx="1">
                  <c:v>740.7</c:v>
                </c:pt>
                <c:pt idx="2">
                  <c:v>850.6</c:v>
                </c:pt>
                <c:pt idx="3">
                  <c:v>588</c:v>
                </c:pt>
                <c:pt idx="4">
                  <c:v>596.40000000000009</c:v>
                </c:pt>
              </c:numCache>
            </c:numRef>
          </c:val>
          <c:extLst>
            <c:ext xmlns:c16="http://schemas.microsoft.com/office/drawing/2014/chart" uri="{C3380CC4-5D6E-409C-BE32-E72D297353CC}">
              <c16:uniqueId val="{00000003-93A3-5D47-8575-35A899A663D8}"/>
            </c:ext>
          </c:extLst>
        </c:ser>
        <c:ser>
          <c:idx val="4"/>
          <c:order val="4"/>
          <c:tx>
            <c:strRef>
              <c:f>'RT Travel Other Regions'!$AV$70</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Other Regions'!$AQ$71:$AQ$75</c:f>
              <c:strCache>
                <c:ptCount val="5"/>
                <c:pt idx="0">
                  <c:v>Monterey-South Lake Tahoe/                            499miles</c:v>
                </c:pt>
                <c:pt idx="1">
                  <c:v>Monterey-Redding/                                        556miles</c:v>
                </c:pt>
                <c:pt idx="2">
                  <c:v>Monterey-Santa Barbara/                   585miles</c:v>
                </c:pt>
                <c:pt idx="3">
                  <c:v>Santa Barbara-S. Lake Tahoe/                             638miles</c:v>
                </c:pt>
                <c:pt idx="4">
                  <c:v>Santa Barbara-Redding/                                  695miles</c:v>
                </c:pt>
              </c:strCache>
            </c:strRef>
          </c:cat>
          <c:val>
            <c:numRef>
              <c:f>'RT Travel Other Regions'!$AV$71:$AV$75</c:f>
              <c:numCache>
                <c:formatCode>#,##0</c:formatCode>
                <c:ptCount val="5"/>
                <c:pt idx="0">
                  <c:v>820</c:v>
                </c:pt>
                <c:pt idx="1">
                  <c:v>528</c:v>
                </c:pt>
                <c:pt idx="2">
                  <c:v>1036</c:v>
                </c:pt>
                <c:pt idx="3">
                  <c:v>938</c:v>
                </c:pt>
                <c:pt idx="4">
                  <c:v>990</c:v>
                </c:pt>
              </c:numCache>
            </c:numRef>
          </c:val>
          <c:extLst>
            <c:ext xmlns:c16="http://schemas.microsoft.com/office/drawing/2014/chart" uri="{C3380CC4-5D6E-409C-BE32-E72D297353CC}">
              <c16:uniqueId val="{00000004-93A3-5D47-8575-35A899A663D8}"/>
            </c:ext>
          </c:extLst>
        </c:ser>
        <c:dLbls>
          <c:showLegendKey val="0"/>
          <c:showVal val="0"/>
          <c:showCatName val="0"/>
          <c:showSerName val="0"/>
          <c:showPercent val="0"/>
          <c:showBubbleSize val="0"/>
        </c:dLbls>
        <c:gapWidth val="50"/>
        <c:axId val="825503887"/>
        <c:axId val="826045199"/>
      </c:barChart>
      <c:catAx>
        <c:axId val="82550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826045199"/>
        <c:crosses val="autoZero"/>
        <c:auto val="1"/>
        <c:lblAlgn val="ctr"/>
        <c:lblOffset val="100"/>
        <c:noMultiLvlLbl val="0"/>
      </c:catAx>
      <c:valAx>
        <c:axId val="826045199"/>
        <c:scaling>
          <c:orientation val="minMax"/>
          <c:max val="1700"/>
          <c:min val="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825503887"/>
        <c:crosses val="autoZero"/>
        <c:crossBetween val="between"/>
      </c:valAx>
      <c:spPr>
        <a:noFill/>
        <a:ln>
          <a:noFill/>
        </a:ln>
        <a:effectLst/>
      </c:spPr>
    </c:plotArea>
    <c:legend>
      <c:legendPos val="b"/>
      <c:layout>
        <c:manualLayout>
          <c:xMode val="edge"/>
          <c:yMode val="edge"/>
          <c:x val="2.229188176547357E-4"/>
          <c:y val="5.3670182349823965E-2"/>
          <c:w val="0.77643183038548036"/>
          <c:h val="0.29980861767279088"/>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4.9180367235821698E-2"/>
          <c:y val="2.89532293986637E-2"/>
          <c:w val="0.93606632305513804"/>
          <c:h val="0.88195991091314196"/>
        </c:manualLayout>
      </c:layout>
      <c:barChart>
        <c:barDir val="col"/>
        <c:grouping val="clustered"/>
        <c:varyColors val="0"/>
        <c:ser>
          <c:idx val="0"/>
          <c:order val="0"/>
          <c:spPr>
            <a:pattFill prst="pct20">
              <a:fgClr>
                <a:schemeClr val="accent1">
                  <a:lumMod val="60000"/>
                  <a:lumOff val="40000"/>
                </a:schemeClr>
              </a:fgClr>
              <a:bgClr>
                <a:srgbClr val="000090"/>
              </a:bgClr>
            </a:pattFill>
            <a:ln>
              <a:noFill/>
            </a:ln>
          </c:spPr>
          <c:invertIfNegative val="0"/>
          <c:dLbls>
            <c:spPr>
              <a:noFill/>
              <a:ln w="25400">
                <a:noFill/>
              </a:ln>
            </c:spPr>
            <c:txPr>
              <a:bodyPr/>
              <a:lstStyle/>
              <a:p>
                <a:pPr>
                  <a:defRPr sz="600" b="1" i="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Adjacent Regions'!#REF!</c15:sqref>
                        </c15:formulaRef>
                      </c:ext>
                    </c:extLst>
                  </c:multiLvlStrRef>
                </c15:cat>
              </c15:filteredCategoryTitle>
            </c:ext>
            <c:ext xmlns:c16="http://schemas.microsoft.com/office/drawing/2014/chart" uri="{C3380CC4-5D6E-409C-BE32-E72D297353CC}">
              <c16:uniqueId val="{00000000-FBBC-C74A-895B-4AA16C7A81C1}"/>
            </c:ext>
          </c:extLst>
        </c:ser>
        <c:ser>
          <c:idx val="1"/>
          <c:order val="1"/>
          <c:spPr>
            <a:pattFill prst="wdDnDiag">
              <a:fgClr>
                <a:srgbClr val="FF0000"/>
              </a:fgClr>
              <a:bgClr>
                <a:schemeClr val="bg1"/>
              </a:bgClr>
            </a:pattFill>
          </c:spPr>
          <c:invertIfNegative val="0"/>
          <c:dLbls>
            <c:spPr>
              <a:noFill/>
              <a:ln w="25400">
                <a:noFill/>
              </a:ln>
            </c:spPr>
            <c:txPr>
              <a:bodyPr/>
              <a:lstStyle/>
              <a:p>
                <a:pPr>
                  <a:defRPr sz="600" b="1" i="0">
                    <a:solidFill>
                      <a:srgbClr val="FF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Adjacent Regions'!#REF!</c15:sqref>
                        </c15:formulaRef>
                      </c:ext>
                    </c:extLst>
                  </c:multiLvlStrRef>
                </c15:cat>
              </c15:filteredCategoryTitle>
            </c:ext>
            <c:ext xmlns:c16="http://schemas.microsoft.com/office/drawing/2014/chart" uri="{C3380CC4-5D6E-409C-BE32-E72D297353CC}">
              <c16:uniqueId val="{00000001-FBBC-C74A-895B-4AA16C7A81C1}"/>
            </c:ext>
          </c:extLst>
        </c:ser>
        <c:ser>
          <c:idx val="2"/>
          <c:order val="2"/>
          <c:spPr>
            <a:pattFill prst="dkUpDiag">
              <a:fgClr>
                <a:srgbClr val="FF0000"/>
              </a:fgClr>
              <a:bgClr>
                <a:schemeClr val="bg1"/>
              </a:bgClr>
            </a:pattFill>
            <a:ln>
              <a:noFill/>
            </a:ln>
          </c:spPr>
          <c:invertIfNegative val="0"/>
          <c:dLbls>
            <c:spPr>
              <a:noFill/>
              <a:ln w="25400">
                <a:noFill/>
              </a:ln>
            </c:spPr>
            <c:txPr>
              <a:bodyPr/>
              <a:lstStyle/>
              <a:p>
                <a:pPr>
                  <a:defRPr sz="600" b="1" i="0">
                    <a:solidFill>
                      <a:srgbClr val="8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Adjacent Regions'!#REF!</c15:sqref>
                        </c15:formulaRef>
                      </c:ext>
                    </c:extLst>
                  </c:multiLvlStrRef>
                </c15:cat>
              </c15:filteredCategoryTitle>
            </c:ext>
            <c:ext xmlns:c16="http://schemas.microsoft.com/office/drawing/2014/chart" uri="{C3380CC4-5D6E-409C-BE32-E72D297353CC}">
              <c16:uniqueId val="{00000002-FBBC-C74A-895B-4AA16C7A81C1}"/>
            </c:ext>
          </c:extLst>
        </c:ser>
        <c:ser>
          <c:idx val="3"/>
          <c:order val="3"/>
          <c:spPr>
            <a:pattFill prst="openDmnd">
              <a:fgClr>
                <a:schemeClr val="bg1"/>
              </a:fgClr>
              <a:bgClr>
                <a:srgbClr val="008000"/>
              </a:bgClr>
            </a:pattFill>
            <a:ln>
              <a:noFill/>
            </a:ln>
          </c:spPr>
          <c:invertIfNegative val="0"/>
          <c:dLbls>
            <c:dLbl>
              <c:idx val="1"/>
              <c:layout>
                <c:manualLayout>
                  <c:x val="-4.9419297461870276E-4"/>
                  <c:y val="6.0324912917483825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3.7026299526338215E-2"/>
                      <c:h val="4.2602347569007402E-2"/>
                    </c:manualLayout>
                  </c15:layout>
                </c:ext>
                <c:ext xmlns:c16="http://schemas.microsoft.com/office/drawing/2014/chart" uri="{C3380CC4-5D6E-409C-BE32-E72D297353CC}">
                  <c16:uniqueId val="{00000003-FBBC-C74A-895B-4AA16C7A81C1}"/>
                </c:ext>
              </c:extLst>
            </c:dLbl>
            <c:dLbl>
              <c:idx val="4"/>
              <c:layout>
                <c:manualLayout>
                  <c:x val="-3.5467987174273199E-2"/>
                  <c:y val="3.18351373411605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BC-C74A-895B-4AA16C7A81C1}"/>
                </c:ext>
              </c:extLst>
            </c:dLbl>
            <c:spPr>
              <a:noFill/>
              <a:ln w="25400">
                <a:noFill/>
              </a:ln>
            </c:spPr>
            <c:txPr>
              <a:bodyPr/>
              <a:lstStyle/>
              <a:p>
                <a:pPr>
                  <a:defRPr sz="600" b="1" i="0">
                    <a:solidFill>
                      <a:srgbClr val="008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'RT Travel 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Adjacent Regions'!#REF!</c15:sqref>
                        </c15:formulaRef>
                      </c:ext>
                    </c:extLst>
                  </c:multiLvlStrRef>
                </c15:cat>
              </c15:filteredCategoryTitle>
            </c:ext>
            <c:ext xmlns:c16="http://schemas.microsoft.com/office/drawing/2014/chart" uri="{C3380CC4-5D6E-409C-BE32-E72D297353CC}">
              <c16:uniqueId val="{00000005-FBBC-C74A-895B-4AA16C7A81C1}"/>
            </c:ext>
          </c:extLst>
        </c:ser>
        <c:dLbls>
          <c:showLegendKey val="0"/>
          <c:showVal val="0"/>
          <c:showCatName val="0"/>
          <c:showSerName val="0"/>
          <c:showPercent val="0"/>
          <c:showBubbleSize val="0"/>
        </c:dLbls>
        <c:gapWidth val="60"/>
        <c:axId val="2128248520"/>
        <c:axId val="2128251752"/>
      </c:barChart>
      <c:catAx>
        <c:axId val="2128248520"/>
        <c:scaling>
          <c:orientation val="minMax"/>
        </c:scaling>
        <c:delete val="0"/>
        <c:axPos val="b"/>
        <c:numFmt formatCode="General" sourceLinked="0"/>
        <c:majorTickMark val="out"/>
        <c:minorTickMark val="none"/>
        <c:tickLblPos val="low"/>
        <c:txPr>
          <a:bodyPr/>
          <a:lstStyle/>
          <a:p>
            <a:pPr>
              <a:defRPr sz="600" b="1" i="0"/>
            </a:pPr>
            <a:endParaRPr lang="en-US"/>
          </a:p>
        </c:txPr>
        <c:crossAx val="2128251752"/>
        <c:crosses val="autoZero"/>
        <c:auto val="1"/>
        <c:lblAlgn val="ctr"/>
        <c:lblOffset val="100"/>
        <c:noMultiLvlLbl val="0"/>
      </c:catAx>
      <c:valAx>
        <c:axId val="2128251752"/>
        <c:scaling>
          <c:orientation val="minMax"/>
          <c:max val="210"/>
          <c:min val="-60"/>
        </c:scaling>
        <c:delete val="0"/>
        <c:axPos val="l"/>
        <c:majorGridlines>
          <c:spPr>
            <a:ln w="12700" cmpd="sng">
              <a:prstDash val="sysDot"/>
            </a:ln>
          </c:spPr>
        </c:majorGridlines>
        <c:numFmt formatCode="General" sourceLinked="1"/>
        <c:majorTickMark val="out"/>
        <c:minorTickMark val="none"/>
        <c:tickLblPos val="nextTo"/>
        <c:txPr>
          <a:bodyPr/>
          <a:lstStyle/>
          <a:p>
            <a:pPr>
              <a:defRPr sz="600"/>
            </a:pPr>
            <a:endParaRPr lang="en-US"/>
          </a:p>
        </c:txPr>
        <c:crossAx val="2128248520"/>
        <c:crosses val="autoZero"/>
        <c:crossBetween val="between"/>
      </c:valAx>
      <c:spPr>
        <a:noFill/>
        <a:ln w="25400">
          <a:noFill/>
        </a:ln>
      </c:spPr>
    </c:plotArea>
    <c:legend>
      <c:legendPos val="r"/>
      <c:layout>
        <c:manualLayout>
          <c:xMode val="edge"/>
          <c:yMode val="edge"/>
          <c:x val="0"/>
          <c:y val="3.3657319434916426E-4"/>
          <c:w val="0.93829190813169261"/>
          <c:h val="0.16245107279805637"/>
        </c:manualLayout>
      </c:layout>
      <c:overlay val="1"/>
      <c:txPr>
        <a:bodyPr/>
        <a:lstStyle/>
        <a:p>
          <a:pPr>
            <a:defRPr sz="600" b="1" i="0"/>
          </a:pPr>
          <a:endParaRPr lang="en-US"/>
        </a:p>
      </c:txPr>
    </c:legend>
    <c:plotVisOnly val="1"/>
    <c:dispBlanksAs val="gap"/>
    <c:showDLblsOverMax val="0"/>
  </c:chart>
  <c:spPr>
    <a:noFill/>
    <a:ln w="9525">
      <a:noFill/>
    </a:ln>
  </c:spPr>
  <c:printSettings>
    <c:headerFooter/>
    <c:pageMargins b="1" l="0.750000000000001" r="0.75000000000000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460345471985787E-2"/>
          <c:y val="3.4700315457413249E-2"/>
          <c:w val="0.96553965452801416"/>
          <c:h val="0.95567823343848579"/>
        </c:manualLayout>
      </c:layout>
      <c:barChart>
        <c:barDir val="col"/>
        <c:grouping val="clustered"/>
        <c:varyColors val="0"/>
        <c:ser>
          <c:idx val="0"/>
          <c:order val="0"/>
          <c:spPr>
            <a:pattFill prst="pct20">
              <a:fgClr>
                <a:schemeClr val="accent1">
                  <a:lumMod val="60000"/>
                  <a:lumOff val="40000"/>
                </a:schemeClr>
              </a:fgClr>
              <a:bgClr>
                <a:srgbClr val="000090"/>
              </a:bgClr>
            </a:pattFill>
            <a:ln>
              <a:noFill/>
            </a:ln>
            <a:effectLst/>
          </c:spPr>
          <c:invertIfNegative val="0"/>
          <c:dLbls>
            <c:dLbl>
              <c:idx val="2"/>
              <c:layout>
                <c:manualLayout>
                  <c:x val="0"/>
                  <c:y val="3.91688814923371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22-6C4F-ACFB-77BDCB78B149}"/>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'RT Travel 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Adjacent Regions'!#REF!</c15:sqref>
                        </c15:formulaRef>
                      </c:ext>
                    </c:extLst>
                  </c:multiLvlStrRef>
                </c15:cat>
              </c15:filteredCategoryTitle>
            </c:ext>
            <c:ext xmlns:c16="http://schemas.microsoft.com/office/drawing/2014/chart" uri="{C3380CC4-5D6E-409C-BE32-E72D297353CC}">
              <c16:uniqueId val="{00000000-5D22-6C4F-ACFB-77BDCB78B149}"/>
            </c:ext>
          </c:extLst>
        </c:ser>
        <c:ser>
          <c:idx val="1"/>
          <c:order val="1"/>
          <c:spPr>
            <a:pattFill prst="wdDn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'RT Travel 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Adjacent Regions'!#REF!</c15:sqref>
                        </c15:formulaRef>
                      </c:ext>
                    </c:extLst>
                  </c:multiLvlStrRef>
                </c15:cat>
              </c15:filteredCategoryTitle>
            </c:ext>
            <c:ext xmlns:c16="http://schemas.microsoft.com/office/drawing/2014/chart" uri="{C3380CC4-5D6E-409C-BE32-E72D297353CC}">
              <c16:uniqueId val="{00000001-5D22-6C4F-ACFB-77BDCB78B149}"/>
            </c:ext>
          </c:extLst>
        </c:ser>
        <c:ser>
          <c:idx val="2"/>
          <c:order val="2"/>
          <c:spPr>
            <a:pattFill prst="dkUpDiag">
              <a:fgClr>
                <a:schemeClr val="bg1"/>
              </a:fgClr>
              <a:bgClr>
                <a:srgbClr val="FF0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C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'RT Travel 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Adjacent Regions'!#REF!</c15:sqref>
                        </c15:formulaRef>
                      </c:ext>
                    </c:extLst>
                  </c:multiLvlStrRef>
                </c15:cat>
              </c15:filteredCategoryTitle>
            </c:ext>
            <c:ext xmlns:c16="http://schemas.microsoft.com/office/drawing/2014/chart" uri="{C3380CC4-5D6E-409C-BE32-E72D297353CC}">
              <c16:uniqueId val="{00000002-5D22-6C4F-ACFB-77BDCB78B149}"/>
            </c:ext>
          </c:extLst>
        </c:ser>
        <c:ser>
          <c:idx val="3"/>
          <c:order val="3"/>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'RT Travel Adjacent Regions'!#REF!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'RT Travel Adjacent Regions'!#REF!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'RT Travel Adjacent Regions'!#REF!</c15:sqref>
                        </c15:formulaRef>
                      </c:ext>
                    </c:extLst>
                  </c:multiLvlStrRef>
                </c15:cat>
              </c15:filteredCategoryTitle>
            </c:ext>
            <c:ext xmlns:c16="http://schemas.microsoft.com/office/drawing/2014/chart" uri="{C3380CC4-5D6E-409C-BE32-E72D297353CC}">
              <c16:uniqueId val="{00000003-5D22-6C4F-ACFB-77BDCB78B149}"/>
            </c:ext>
          </c:extLst>
        </c:ser>
        <c:dLbls>
          <c:showLegendKey val="0"/>
          <c:showVal val="0"/>
          <c:showCatName val="0"/>
          <c:showSerName val="0"/>
          <c:showPercent val="0"/>
          <c:showBubbleSize val="0"/>
        </c:dLbls>
        <c:gapWidth val="59"/>
        <c:overlap val="4"/>
        <c:axId val="1516904271"/>
        <c:axId val="1511942591"/>
      </c:barChart>
      <c:catAx>
        <c:axId val="1516904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511942591"/>
        <c:crosses val="autoZero"/>
        <c:auto val="1"/>
        <c:lblAlgn val="ctr"/>
        <c:lblOffset val="100"/>
        <c:noMultiLvlLbl val="0"/>
      </c:catAx>
      <c:valAx>
        <c:axId val="1511942591"/>
        <c:scaling>
          <c:orientation val="minMax"/>
          <c:max val="560"/>
        </c:scaling>
        <c:delete val="0"/>
        <c:axPos val="l"/>
        <c:majorGridlines>
          <c:spPr>
            <a:ln w="12700" cap="flat" cmpd="sng" algn="ctr">
              <a:solidFill>
                <a:schemeClr val="bg1">
                  <a:lumMod val="75000"/>
                </a:schemeClr>
              </a:solidFill>
              <a:prstDash val="sysDot"/>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1516904271"/>
        <c:crosses val="autoZero"/>
        <c:crossBetween val="between"/>
      </c:valAx>
      <c:spPr>
        <a:noFill/>
        <a:ln>
          <a:noFill/>
        </a:ln>
        <a:effectLst/>
      </c:spPr>
    </c:plotArea>
    <c:legend>
      <c:legendPos val="b"/>
      <c:layout>
        <c:manualLayout>
          <c:xMode val="edge"/>
          <c:yMode val="edge"/>
          <c:x val="0"/>
          <c:y val="1.7001287603429838E-2"/>
          <c:w val="0.5322352432658275"/>
          <c:h val="0.24780347136325134"/>
        </c:manualLayout>
      </c:layout>
      <c:overlay val="0"/>
      <c:spPr>
        <a:noFill/>
        <a:ln>
          <a:noFill/>
        </a:ln>
        <a:effectLst/>
      </c:spPr>
      <c:txPr>
        <a:bodyPr rot="0" spcFirstLastPara="1" vertOverflow="ellipsis" vert="horz" wrap="square" anchor="ctr" anchorCtr="1"/>
        <a:lstStyle/>
        <a:p>
          <a:pPr>
            <a:defRPr sz="65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304214914312185E-2"/>
          <c:y val="4.3137254901960784E-2"/>
          <c:w val="0.94867068087077355"/>
          <c:h val="0.86384838659873397"/>
        </c:manualLayout>
      </c:layout>
      <c:barChart>
        <c:barDir val="col"/>
        <c:grouping val="clustered"/>
        <c:varyColors val="0"/>
        <c:ser>
          <c:idx val="0"/>
          <c:order val="0"/>
          <c:tx>
            <c:strRef>
              <c:f>'RT Travel Adjacent Regions'!$AR$7</c:f>
              <c:strCache>
                <c:ptCount val="1"/>
                <c:pt idx="0">
                  <c:v>SV-CV Period: Cost of Driving Alone Round-Trip @ 23¢/mile, the Authority's metric for fully-loaded auto costs</c:v>
                </c:pt>
              </c:strCache>
            </c:strRef>
          </c:tx>
          <c:spPr>
            <a:pattFill prst="pct20">
              <a:fgClr>
                <a:schemeClr val="tx2">
                  <a:lumMod val="60000"/>
                  <a:lumOff val="40000"/>
                </a:schemeClr>
              </a:fgClr>
              <a:bgClr>
                <a:srgbClr val="000090"/>
              </a:bgClr>
            </a:patt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600" b="1" i="0" u="none" strike="noStrike" kern="1200" baseline="0">
                      <a:solidFill>
                        <a:schemeClr val="tx2">
                          <a:lumMod val="7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C90A-BD4F-8F37-BAA63107FF20}"/>
                </c:ext>
              </c:extLst>
            </c:dLbl>
            <c:dLbl>
              <c:idx val="1"/>
              <c:layout>
                <c:manualLayout>
                  <c:x val="-2.0532084939457024E-3"/>
                  <c:y val="1.6117564047632697E-2"/>
                </c:manualLayout>
              </c:layout>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tx2">
                          <a:lumMod val="7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0A-BD4F-8F37-BAA63107FF20}"/>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Regions'!$AQ$8:$AQ$12</c:f>
              <c:strCache>
                <c:ptCount val="5"/>
                <c:pt idx="0">
                  <c:v>Los Angeles-Bakersfield/                160miles</c:v>
                </c:pt>
                <c:pt idx="1">
                  <c:v>OC Gateway-Bakersfield/               174miles</c:v>
                </c:pt>
                <c:pt idx="2">
                  <c:v>Los Angeles-KT Hanford /                  223miles</c:v>
                </c:pt>
                <c:pt idx="3">
                  <c:v>OC Gateway-KT Hanford/                 237miles</c:v>
                </c:pt>
                <c:pt idx="4">
                  <c:v>Anaheim-KT  Hanford /                        250miles</c:v>
                </c:pt>
              </c:strCache>
            </c:strRef>
          </c:cat>
          <c:val>
            <c:numRef>
              <c:f>'RT Travel Adjacent Regions'!$AR$8:$AR$12</c:f>
              <c:numCache>
                <c:formatCode>"$"#,##0</c:formatCode>
                <c:ptCount val="5"/>
                <c:pt idx="0">
                  <c:v>51.52</c:v>
                </c:pt>
                <c:pt idx="1">
                  <c:v>58.88</c:v>
                </c:pt>
                <c:pt idx="2">
                  <c:v>90.160000000000011</c:v>
                </c:pt>
                <c:pt idx="3">
                  <c:v>97.06</c:v>
                </c:pt>
                <c:pt idx="4">
                  <c:v>103.5</c:v>
                </c:pt>
              </c:numCache>
            </c:numRef>
          </c:val>
          <c:extLst>
            <c:ext xmlns:c16="http://schemas.microsoft.com/office/drawing/2014/chart" uri="{C3380CC4-5D6E-409C-BE32-E72D297353CC}">
              <c16:uniqueId val="{00000000-2F65-0A45-94F1-939896ED2DB8}"/>
            </c:ext>
          </c:extLst>
        </c:ser>
        <c:ser>
          <c:idx val="1"/>
          <c:order val="1"/>
          <c:tx>
            <c:strRef>
              <c:f>'RT Travel Adjacent Regions'!$AS$7</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Regions'!$AQ$8:$AQ$12</c:f>
              <c:strCache>
                <c:ptCount val="5"/>
                <c:pt idx="0">
                  <c:v>Los Angeles-Bakersfield/                160miles</c:v>
                </c:pt>
                <c:pt idx="1">
                  <c:v>OC Gateway-Bakersfield/               174miles</c:v>
                </c:pt>
                <c:pt idx="2">
                  <c:v>Los Angeles-KT Hanford /                  223miles</c:v>
                </c:pt>
                <c:pt idx="3">
                  <c:v>OC Gateway-KT Hanford/                 237miles</c:v>
                </c:pt>
                <c:pt idx="4">
                  <c:v>Anaheim-KT  Hanford /                        250miles</c:v>
                </c:pt>
              </c:strCache>
            </c:strRef>
          </c:cat>
          <c:val>
            <c:numRef>
              <c:f>'RT Travel Adjacent Regions'!$AS$8:$AS$12</c:f>
              <c:numCache>
                <c:formatCode>"$"#,##0</c:formatCode>
                <c:ptCount val="5"/>
                <c:pt idx="0">
                  <c:v>49</c:v>
                </c:pt>
                <c:pt idx="1">
                  <c:v>62</c:v>
                </c:pt>
                <c:pt idx="2">
                  <c:v>157</c:v>
                </c:pt>
                <c:pt idx="3">
                  <c:v>170</c:v>
                </c:pt>
                <c:pt idx="4">
                  <c:v>174.5</c:v>
                </c:pt>
              </c:numCache>
            </c:numRef>
          </c:val>
          <c:extLst>
            <c:ext xmlns:c16="http://schemas.microsoft.com/office/drawing/2014/chart" uri="{C3380CC4-5D6E-409C-BE32-E72D297353CC}">
              <c16:uniqueId val="{00000001-2F65-0A45-94F1-939896ED2DB8}"/>
            </c:ext>
          </c:extLst>
        </c:ser>
        <c:ser>
          <c:idx val="2"/>
          <c:order val="2"/>
          <c:tx>
            <c:strRef>
              <c:f>'RT Travel Adjacent Regions'!$AT$7</c:f>
              <c:strCache>
                <c:ptCount val="1"/>
                <c:pt idx="0">
                  <c:v>SV-CV Period: Round trip airfares and $23 of Round Trip access+egress costs + remote access costs if applicable</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Regions'!$AQ$8:$AQ$12</c:f>
              <c:strCache>
                <c:ptCount val="5"/>
                <c:pt idx="0">
                  <c:v>Los Angeles-Bakersfield/                160miles</c:v>
                </c:pt>
                <c:pt idx="1">
                  <c:v>OC Gateway-Bakersfield/               174miles</c:v>
                </c:pt>
                <c:pt idx="2">
                  <c:v>Los Angeles-KT Hanford /                  223miles</c:v>
                </c:pt>
                <c:pt idx="3">
                  <c:v>OC Gateway-KT Hanford/                 237miles</c:v>
                </c:pt>
                <c:pt idx="4">
                  <c:v>Anaheim-KT  Hanford /                        250miles</c:v>
                </c:pt>
              </c:strCache>
            </c:strRef>
          </c:cat>
          <c:val>
            <c:numRef>
              <c:f>'RT Travel Adjacent Regions'!$AT$8:$AT$12</c:f>
              <c:numCache>
                <c:formatCode>"$"#,##0</c:formatCode>
                <c:ptCount val="5"/>
                <c:pt idx="0">
                  <c:v>929</c:v>
                </c:pt>
                <c:pt idx="1">
                  <c:v>944</c:v>
                </c:pt>
                <c:pt idx="2">
                  <c:v>411</c:v>
                </c:pt>
                <c:pt idx="3">
                  <c:v>426</c:v>
                </c:pt>
                <c:pt idx="4">
                  <c:v>426</c:v>
                </c:pt>
              </c:numCache>
            </c:numRef>
          </c:val>
          <c:extLst>
            <c:ext xmlns:c16="http://schemas.microsoft.com/office/drawing/2014/chart" uri="{C3380CC4-5D6E-409C-BE32-E72D297353CC}">
              <c16:uniqueId val="{00000002-2F65-0A45-94F1-939896ED2DB8}"/>
            </c:ext>
          </c:extLst>
        </c:ser>
        <c:ser>
          <c:idx val="3"/>
          <c:order val="3"/>
          <c:tx>
            <c:strRef>
              <c:f>'RT Travel Adjacent Regions'!$AU$7</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Regions'!$AQ$8:$AQ$12</c:f>
              <c:strCache>
                <c:ptCount val="5"/>
                <c:pt idx="0">
                  <c:v>Los Angeles-Bakersfield/                160miles</c:v>
                </c:pt>
                <c:pt idx="1">
                  <c:v>OC Gateway-Bakersfield/               174miles</c:v>
                </c:pt>
                <c:pt idx="2">
                  <c:v>Los Angeles-KT Hanford /                  223miles</c:v>
                </c:pt>
                <c:pt idx="3">
                  <c:v>OC Gateway-KT Hanford/                 237miles</c:v>
                </c:pt>
                <c:pt idx="4">
                  <c:v>Anaheim-KT  Hanford /                        250miles</c:v>
                </c:pt>
              </c:strCache>
            </c:strRef>
          </c:cat>
          <c:val>
            <c:numRef>
              <c:f>'RT Travel Adjacent Regions'!$AU$8:$AU$12</c:f>
              <c:numCache>
                <c:formatCode>0</c:formatCode>
                <c:ptCount val="5"/>
                <c:pt idx="0">
                  <c:v>213.60000000000002</c:v>
                </c:pt>
                <c:pt idx="1">
                  <c:v>225.5</c:v>
                </c:pt>
                <c:pt idx="2">
                  <c:v>159.20000000000005</c:v>
                </c:pt>
                <c:pt idx="3">
                  <c:v>134.30000000000001</c:v>
                </c:pt>
                <c:pt idx="4">
                  <c:v>174.3</c:v>
                </c:pt>
              </c:numCache>
            </c:numRef>
          </c:val>
          <c:extLst>
            <c:ext xmlns:c16="http://schemas.microsoft.com/office/drawing/2014/chart" uri="{C3380CC4-5D6E-409C-BE32-E72D297353CC}">
              <c16:uniqueId val="{00000003-2F65-0A45-94F1-939896ED2DB8}"/>
            </c:ext>
          </c:extLst>
        </c:ser>
        <c:ser>
          <c:idx val="4"/>
          <c:order val="4"/>
          <c:tx>
            <c:strRef>
              <c:f>'RT Travel Adjacent Regions'!$AV$7</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accen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Regions'!$AQ$8:$AQ$12</c:f>
              <c:strCache>
                <c:ptCount val="5"/>
                <c:pt idx="0">
                  <c:v>Los Angeles-Bakersfield/                160miles</c:v>
                </c:pt>
                <c:pt idx="1">
                  <c:v>OC Gateway-Bakersfield/               174miles</c:v>
                </c:pt>
                <c:pt idx="2">
                  <c:v>Los Angeles-KT Hanford /                  223miles</c:v>
                </c:pt>
                <c:pt idx="3">
                  <c:v>OC Gateway-KT Hanford/                 237miles</c:v>
                </c:pt>
                <c:pt idx="4">
                  <c:v>Anaheim-KT  Hanford /                        250miles</c:v>
                </c:pt>
              </c:strCache>
            </c:strRef>
          </c:cat>
          <c:val>
            <c:numRef>
              <c:f>'RT Travel Adjacent Regions'!$AV$8:$AV$12</c:f>
              <c:numCache>
                <c:formatCode>#,##0</c:formatCode>
                <c:ptCount val="5"/>
                <c:pt idx="0">
                  <c:v>-250</c:v>
                </c:pt>
                <c:pt idx="1">
                  <c:v>-176</c:v>
                </c:pt>
                <c:pt idx="2">
                  <c:v>184</c:v>
                </c:pt>
                <c:pt idx="3">
                  <c:v>258</c:v>
                </c:pt>
                <c:pt idx="4">
                  <c:v>298</c:v>
                </c:pt>
              </c:numCache>
            </c:numRef>
          </c:val>
          <c:extLst>
            <c:ext xmlns:c16="http://schemas.microsoft.com/office/drawing/2014/chart" uri="{C3380CC4-5D6E-409C-BE32-E72D297353CC}">
              <c16:uniqueId val="{00000004-2F65-0A45-94F1-939896ED2DB8}"/>
            </c:ext>
          </c:extLst>
        </c:ser>
        <c:dLbls>
          <c:showLegendKey val="0"/>
          <c:showVal val="0"/>
          <c:showCatName val="0"/>
          <c:showSerName val="0"/>
          <c:showPercent val="0"/>
          <c:showBubbleSize val="0"/>
        </c:dLbls>
        <c:gapWidth val="51"/>
        <c:axId val="1386343344"/>
        <c:axId val="1371782144"/>
      </c:barChart>
      <c:catAx>
        <c:axId val="13863433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371782144"/>
        <c:crosses val="autoZero"/>
        <c:auto val="1"/>
        <c:lblAlgn val="ctr"/>
        <c:lblOffset val="100"/>
        <c:noMultiLvlLbl val="0"/>
      </c:catAx>
      <c:valAx>
        <c:axId val="1371782144"/>
        <c:scaling>
          <c:orientation val="minMax"/>
          <c:max val="1400"/>
          <c:min val="-3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386343344"/>
        <c:crosses val="autoZero"/>
        <c:crossBetween val="between"/>
      </c:valAx>
      <c:spPr>
        <a:noFill/>
        <a:ln>
          <a:noFill/>
        </a:ln>
        <a:effectLst/>
      </c:spPr>
    </c:plotArea>
    <c:legend>
      <c:legendPos val="b"/>
      <c:layout>
        <c:manualLayout>
          <c:xMode val="edge"/>
          <c:yMode val="edge"/>
          <c:x val="0"/>
          <c:y val="4.4057715369513036E-2"/>
          <c:w val="0.988806918982577"/>
          <c:h val="0.23434769183263859"/>
        </c:manualLayout>
      </c:layout>
      <c:overlay val="0"/>
      <c:spPr>
        <a:noFill/>
        <a:ln>
          <a:noFill/>
        </a:ln>
        <a:effectLst/>
      </c:spPr>
      <c:txPr>
        <a:bodyPr rot="0" spcFirstLastPara="1" vertOverflow="ellipsis" vert="horz" wrap="square" anchor="ctr" anchorCtr="1"/>
        <a:lstStyle/>
        <a:p>
          <a:pPr>
            <a:defRPr sz="65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52716657073148E-2"/>
          <c:y val="1.9104035008978063E-2"/>
          <c:w val="0.96114728334292687"/>
          <c:h val="0.90150060401887888"/>
        </c:manualLayout>
      </c:layout>
      <c:barChart>
        <c:barDir val="col"/>
        <c:grouping val="clustered"/>
        <c:varyColors val="0"/>
        <c:ser>
          <c:idx val="0"/>
          <c:order val="0"/>
          <c:tx>
            <c:strRef>
              <c:f>'RT Travel Adjacent Regions'!$AR$19</c:f>
              <c:strCache>
                <c:ptCount val="1"/>
                <c:pt idx="0">
                  <c:v>SV-CV Period: Cost of Driving Alone Round-Trip @ 23¢/mile, the Authority's metric for fully-loaded auto costs</c:v>
                </c:pt>
              </c:strCache>
            </c:strRef>
          </c:tx>
          <c:spPr>
            <a:pattFill prst="pct20">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Regions'!$AQ$20:$AQ$24</c:f>
              <c:strCache>
                <c:ptCount val="5"/>
                <c:pt idx="0">
                  <c:v>Los Angeles-Fresno/                                                267miles</c:v>
                </c:pt>
                <c:pt idx="1">
                  <c:v>OC Gateway (Norwalk)-Fresno/                             281miles</c:v>
                </c:pt>
                <c:pt idx="2">
                  <c:v>Los Angeles-Madera/                                              291miles</c:v>
                </c:pt>
                <c:pt idx="3">
                  <c:v>Burbank-Merced/                             320miles</c:v>
                </c:pt>
                <c:pt idx="4">
                  <c:v>Anaheim-Merced/                                       353miles</c:v>
                </c:pt>
              </c:strCache>
            </c:strRef>
          </c:cat>
          <c:val>
            <c:numRef>
              <c:f>'RT Travel Adjacent Regions'!$AR$20:$AR$24</c:f>
              <c:numCache>
                <c:formatCode>"$"#,##0</c:formatCode>
                <c:ptCount val="5"/>
                <c:pt idx="0">
                  <c:v>100.28</c:v>
                </c:pt>
                <c:pt idx="1">
                  <c:v>107.64</c:v>
                </c:pt>
                <c:pt idx="2">
                  <c:v>115</c:v>
                </c:pt>
                <c:pt idx="3">
                  <c:v>120.52000000000001</c:v>
                </c:pt>
                <c:pt idx="4">
                  <c:v>139.38</c:v>
                </c:pt>
              </c:numCache>
            </c:numRef>
          </c:val>
          <c:extLst>
            <c:ext xmlns:c16="http://schemas.microsoft.com/office/drawing/2014/chart" uri="{C3380CC4-5D6E-409C-BE32-E72D297353CC}">
              <c16:uniqueId val="{00000000-6651-0249-855C-183356016630}"/>
            </c:ext>
          </c:extLst>
        </c:ser>
        <c:ser>
          <c:idx val="1"/>
          <c:order val="1"/>
          <c:tx>
            <c:strRef>
              <c:f>'RT Travel Adjacent Regions'!$AS$19</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Regions'!$AQ$20:$AQ$24</c:f>
              <c:strCache>
                <c:ptCount val="5"/>
                <c:pt idx="0">
                  <c:v>Los Angeles-Fresno/                                                267miles</c:v>
                </c:pt>
                <c:pt idx="1">
                  <c:v>OC Gateway (Norwalk)-Fresno/                             281miles</c:v>
                </c:pt>
                <c:pt idx="2">
                  <c:v>Los Angeles-Madera/                                              291miles</c:v>
                </c:pt>
                <c:pt idx="3">
                  <c:v>Burbank-Merced/                             320miles</c:v>
                </c:pt>
                <c:pt idx="4">
                  <c:v>Anaheim-Merced/                                       353miles</c:v>
                </c:pt>
              </c:strCache>
            </c:strRef>
          </c:cat>
          <c:val>
            <c:numRef>
              <c:f>'RT Travel Adjacent Regions'!$AS$20:$AS$24</c:f>
              <c:numCache>
                <c:formatCode>"$"#,##0</c:formatCode>
                <c:ptCount val="5"/>
                <c:pt idx="0">
                  <c:v>167</c:v>
                </c:pt>
                <c:pt idx="1">
                  <c:v>180</c:v>
                </c:pt>
                <c:pt idx="2">
                  <c:v>177</c:v>
                </c:pt>
                <c:pt idx="3">
                  <c:v>179</c:v>
                </c:pt>
                <c:pt idx="4">
                  <c:v>196.5</c:v>
                </c:pt>
              </c:numCache>
            </c:numRef>
          </c:val>
          <c:extLst>
            <c:ext xmlns:c16="http://schemas.microsoft.com/office/drawing/2014/chart" uri="{C3380CC4-5D6E-409C-BE32-E72D297353CC}">
              <c16:uniqueId val="{00000001-6651-0249-855C-183356016630}"/>
            </c:ext>
          </c:extLst>
        </c:ser>
        <c:ser>
          <c:idx val="2"/>
          <c:order val="2"/>
          <c:tx>
            <c:strRef>
              <c:f>'RT Travel Adjacent Regions'!$AT$19</c:f>
              <c:strCache>
                <c:ptCount val="1"/>
                <c:pt idx="0">
                  <c:v>SV-CV Period: Round trip airfares and $23 of Round Trip access+egress costs + remote access costs if applicable</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Regions'!$AQ$20:$AQ$24</c:f>
              <c:strCache>
                <c:ptCount val="5"/>
                <c:pt idx="0">
                  <c:v>Los Angeles-Fresno/                                                267miles</c:v>
                </c:pt>
                <c:pt idx="1">
                  <c:v>OC Gateway (Norwalk)-Fresno/                             281miles</c:v>
                </c:pt>
                <c:pt idx="2">
                  <c:v>Los Angeles-Madera/                                              291miles</c:v>
                </c:pt>
                <c:pt idx="3">
                  <c:v>Burbank-Merced/                             320miles</c:v>
                </c:pt>
                <c:pt idx="4">
                  <c:v>Anaheim-Merced/                                       353miles</c:v>
                </c:pt>
              </c:strCache>
            </c:strRef>
          </c:cat>
          <c:val>
            <c:numRef>
              <c:f>'RT Travel Adjacent Regions'!$AT$20:$AT$24</c:f>
              <c:numCache>
                <c:formatCode>"$"#,##0</c:formatCode>
                <c:ptCount val="5"/>
                <c:pt idx="0">
                  <c:v>396</c:v>
                </c:pt>
                <c:pt idx="1">
                  <c:v>411</c:v>
                </c:pt>
                <c:pt idx="2">
                  <c:v>411</c:v>
                </c:pt>
                <c:pt idx="3">
                  <c:v>730</c:v>
                </c:pt>
                <c:pt idx="4">
                  <c:v>426</c:v>
                </c:pt>
              </c:numCache>
            </c:numRef>
          </c:val>
          <c:extLst>
            <c:ext xmlns:c16="http://schemas.microsoft.com/office/drawing/2014/chart" uri="{C3380CC4-5D6E-409C-BE32-E72D297353CC}">
              <c16:uniqueId val="{00000002-6651-0249-855C-183356016630}"/>
            </c:ext>
          </c:extLst>
        </c:ser>
        <c:ser>
          <c:idx val="3"/>
          <c:order val="3"/>
          <c:tx>
            <c:strRef>
              <c:f>'RT Travel Adjacent Regions'!$AU$19</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Regions'!$AQ$20:$AQ$24</c:f>
              <c:strCache>
                <c:ptCount val="5"/>
                <c:pt idx="0">
                  <c:v>Los Angeles-Fresno/                                                267miles</c:v>
                </c:pt>
                <c:pt idx="1">
                  <c:v>OC Gateway (Norwalk)-Fresno/                             281miles</c:v>
                </c:pt>
                <c:pt idx="2">
                  <c:v>Los Angeles-Madera/                                              291miles</c:v>
                </c:pt>
                <c:pt idx="3">
                  <c:v>Burbank-Merced/                             320miles</c:v>
                </c:pt>
                <c:pt idx="4">
                  <c:v>Anaheim-Merced/                                       353miles</c:v>
                </c:pt>
              </c:strCache>
            </c:strRef>
          </c:cat>
          <c:val>
            <c:numRef>
              <c:f>'RT Travel Adjacent Regions'!$AU$20:$AU$24</c:f>
              <c:numCache>
                <c:formatCode>0</c:formatCode>
                <c:ptCount val="5"/>
                <c:pt idx="0">
                  <c:v>161.80000000000001</c:v>
                </c:pt>
                <c:pt idx="1">
                  <c:v>67.5</c:v>
                </c:pt>
                <c:pt idx="2">
                  <c:v>198.60000000000002</c:v>
                </c:pt>
                <c:pt idx="3">
                  <c:v>221.20000000000005</c:v>
                </c:pt>
                <c:pt idx="4">
                  <c:v>261.60000000000002</c:v>
                </c:pt>
              </c:numCache>
            </c:numRef>
          </c:val>
          <c:extLst>
            <c:ext xmlns:c16="http://schemas.microsoft.com/office/drawing/2014/chart" uri="{C3380CC4-5D6E-409C-BE32-E72D297353CC}">
              <c16:uniqueId val="{00000003-6651-0249-855C-183356016630}"/>
            </c:ext>
          </c:extLst>
        </c:ser>
        <c:ser>
          <c:idx val="4"/>
          <c:order val="4"/>
          <c:tx>
            <c:strRef>
              <c:f>'RT Travel Adjacent Regions'!$AV$19</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Regions'!$AQ$20:$AQ$24</c:f>
              <c:strCache>
                <c:ptCount val="5"/>
                <c:pt idx="0">
                  <c:v>Los Angeles-Fresno/                                                267miles</c:v>
                </c:pt>
                <c:pt idx="1">
                  <c:v>OC Gateway (Norwalk)-Fresno/                             281miles</c:v>
                </c:pt>
                <c:pt idx="2">
                  <c:v>Los Angeles-Madera/                                              291miles</c:v>
                </c:pt>
                <c:pt idx="3">
                  <c:v>Burbank-Merced/                             320miles</c:v>
                </c:pt>
                <c:pt idx="4">
                  <c:v>Anaheim-Merced/                                       353miles</c:v>
                </c:pt>
              </c:strCache>
            </c:strRef>
          </c:cat>
          <c:val>
            <c:numRef>
              <c:f>'RT Travel Adjacent Regions'!$AV$20:$AV$24</c:f>
              <c:numCache>
                <c:formatCode>#,##0</c:formatCode>
                <c:ptCount val="5"/>
                <c:pt idx="0">
                  <c:v>228</c:v>
                </c:pt>
                <c:pt idx="1">
                  <c:v>228</c:v>
                </c:pt>
                <c:pt idx="2">
                  <c:v>274</c:v>
                </c:pt>
                <c:pt idx="3">
                  <c:v>48</c:v>
                </c:pt>
                <c:pt idx="4">
                  <c:v>498</c:v>
                </c:pt>
              </c:numCache>
            </c:numRef>
          </c:val>
          <c:extLst>
            <c:ext xmlns:c16="http://schemas.microsoft.com/office/drawing/2014/chart" uri="{C3380CC4-5D6E-409C-BE32-E72D297353CC}">
              <c16:uniqueId val="{00000004-6651-0249-855C-183356016630}"/>
            </c:ext>
          </c:extLst>
        </c:ser>
        <c:dLbls>
          <c:showLegendKey val="0"/>
          <c:showVal val="0"/>
          <c:showCatName val="0"/>
          <c:showSerName val="0"/>
          <c:showPercent val="0"/>
          <c:showBubbleSize val="0"/>
        </c:dLbls>
        <c:gapWidth val="50"/>
        <c:axId val="1343683808"/>
        <c:axId val="1343493648"/>
      </c:barChart>
      <c:catAx>
        <c:axId val="134368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343493648"/>
        <c:crosses val="autoZero"/>
        <c:auto val="1"/>
        <c:lblAlgn val="ctr"/>
        <c:lblOffset val="100"/>
        <c:noMultiLvlLbl val="0"/>
      </c:catAx>
      <c:valAx>
        <c:axId val="1343493648"/>
        <c:scaling>
          <c:orientation val="minMax"/>
          <c:max val="1100"/>
          <c:min val="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343683808"/>
        <c:crosses val="autoZero"/>
        <c:crossBetween val="between"/>
        <c:majorUnit val="80"/>
      </c:valAx>
      <c:spPr>
        <a:noFill/>
        <a:ln>
          <a:noFill/>
        </a:ln>
        <a:effectLst/>
      </c:spPr>
    </c:plotArea>
    <c:legend>
      <c:legendPos val="b"/>
      <c:layout>
        <c:manualLayout>
          <c:xMode val="edge"/>
          <c:yMode val="edge"/>
          <c:x val="0"/>
          <c:y val="6.4728343190716436E-2"/>
          <c:w val="0.9947100675849313"/>
          <c:h val="0.25677176104468175"/>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22012446733758E-2"/>
          <c:y val="4.0993780800355886E-2"/>
          <c:w val="0.96017798755326622"/>
          <c:h val="0.92261272115954007"/>
        </c:manualLayout>
      </c:layout>
      <c:barChart>
        <c:barDir val="col"/>
        <c:grouping val="clustered"/>
        <c:varyColors val="0"/>
        <c:ser>
          <c:idx val="0"/>
          <c:order val="0"/>
          <c:tx>
            <c:strRef>
              <c:f>'RT Travel Adjacent Regions'!$AR$53</c:f>
              <c:strCache>
                <c:ptCount val="1"/>
                <c:pt idx="0">
                  <c:v>SV-CV Period: Cost of Driving Alone Round-Trip @ 23¢/mile, the Authority's metric for fully-loaded auto costs</c:v>
                </c:pt>
              </c:strCache>
            </c:strRef>
          </c:tx>
          <c:spPr>
            <a:pattFill prst="pct20">
              <a:fgClr>
                <a:schemeClr val="tx2">
                  <a:lumMod val="60000"/>
                  <a:lumOff val="40000"/>
                </a:schemeClr>
              </a:fgClr>
              <a:bgClr>
                <a:srgbClr val="000090"/>
              </a:bgClr>
            </a:pattFill>
            <a:ln>
              <a:noFill/>
            </a:ln>
            <a:effectLst/>
          </c:spPr>
          <c:invertIfNegative val="0"/>
          <c:dLbls>
            <c:dLbl>
              <c:idx val="0"/>
              <c:layout>
                <c:manualLayout>
                  <c:x val="0"/>
                  <c:y val="1.2303080183784617E-2"/>
                </c:manualLayout>
              </c:layout>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206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BE4B-844F-734816F7D7D9}"/>
                </c:ext>
              </c:extLst>
            </c:dLbl>
            <c:dLbl>
              <c:idx val="1"/>
              <c:layout>
                <c:manualLayout>
                  <c:x val="-2.2321852284879272E-3"/>
                  <c:y val="1.9323232506810284E-2"/>
                </c:manualLayout>
              </c:layout>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206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BE4B-844F-734816F7D7D9}"/>
                </c:ext>
              </c:extLst>
            </c:dLbl>
            <c:dLbl>
              <c:idx val="2"/>
              <c:layout>
                <c:manualLayout>
                  <c:x val="0"/>
                  <c:y val="5.36742355072871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EF-BE4B-844F-734816F7D7D9}"/>
                </c:ext>
              </c:extLst>
            </c:dLbl>
            <c:dLbl>
              <c:idx val="3"/>
              <c:layout>
                <c:manualLayout>
                  <c:x val="8.184584622102277E-17"/>
                  <c:y val="4.80448435848904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EF-BE4B-844F-734816F7D7D9}"/>
                </c:ext>
              </c:extLst>
            </c:dLbl>
            <c:dLbl>
              <c:idx val="4"/>
              <c:layout>
                <c:manualLayout>
                  <c:x val="0"/>
                  <c:y val="5.62016057354370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EF-BE4B-844F-734816F7D7D9}"/>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Regions'!$AQ$54:$AQ$58</c:f>
              <c:strCache>
                <c:ptCount val="5"/>
                <c:pt idx="0">
                  <c:v>Gilroy-Madera/                                  96miles</c:v>
                </c:pt>
                <c:pt idx="1">
                  <c:v>Gilroy-Fresno/                         121miles</c:v>
                </c:pt>
                <c:pt idx="2">
                  <c:v>San Jose-Fresno/                    151miles</c:v>
                </c:pt>
                <c:pt idx="3">
                  <c:v>Giroy-KT/Hanford/                  165miles</c:v>
                </c:pt>
                <c:pt idx="4">
                  <c:v>San Francisco-Madera/                                      178miles</c:v>
                </c:pt>
              </c:strCache>
            </c:strRef>
          </c:cat>
          <c:val>
            <c:numRef>
              <c:f>'RT Travel Adjacent Regions'!$AR$54:$AR$58</c:f>
              <c:numCache>
                <c:formatCode>"$"#,##0</c:formatCode>
                <c:ptCount val="5"/>
                <c:pt idx="0">
                  <c:v>44.160000000000004</c:v>
                </c:pt>
                <c:pt idx="1">
                  <c:v>55.660000000000004</c:v>
                </c:pt>
                <c:pt idx="2">
                  <c:v>69.92</c:v>
                </c:pt>
                <c:pt idx="3">
                  <c:v>66.7</c:v>
                </c:pt>
                <c:pt idx="4">
                  <c:v>74.06</c:v>
                </c:pt>
              </c:numCache>
            </c:numRef>
          </c:val>
          <c:extLst>
            <c:ext xmlns:c16="http://schemas.microsoft.com/office/drawing/2014/chart" uri="{C3380CC4-5D6E-409C-BE32-E72D297353CC}">
              <c16:uniqueId val="{00000000-1573-4742-B487-44C7D1130FA7}"/>
            </c:ext>
          </c:extLst>
        </c:ser>
        <c:ser>
          <c:idx val="1"/>
          <c:order val="1"/>
          <c:tx>
            <c:strRef>
              <c:f>'RT Travel Adjacent Regions'!$AS$53</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Regions'!$AQ$54:$AQ$58</c:f>
              <c:strCache>
                <c:ptCount val="5"/>
                <c:pt idx="0">
                  <c:v>Gilroy-Madera/                                  96miles</c:v>
                </c:pt>
                <c:pt idx="1">
                  <c:v>Gilroy-Fresno/                         121miles</c:v>
                </c:pt>
                <c:pt idx="2">
                  <c:v>San Jose-Fresno/                    151miles</c:v>
                </c:pt>
                <c:pt idx="3">
                  <c:v>Giroy-KT/Hanford/                  165miles</c:v>
                </c:pt>
                <c:pt idx="4">
                  <c:v>San Francisco-Madera/                                      178miles</c:v>
                </c:pt>
              </c:strCache>
            </c:strRef>
          </c:cat>
          <c:val>
            <c:numRef>
              <c:f>'RT Travel Adjacent Regions'!$AS$54:$AS$58</c:f>
              <c:numCache>
                <c:formatCode>"$"#,##0</c:formatCode>
                <c:ptCount val="5"/>
                <c:pt idx="0">
                  <c:v>139</c:v>
                </c:pt>
                <c:pt idx="1">
                  <c:v>147</c:v>
                </c:pt>
                <c:pt idx="2">
                  <c:v>155</c:v>
                </c:pt>
                <c:pt idx="3">
                  <c:v>159</c:v>
                </c:pt>
                <c:pt idx="4">
                  <c:v>163</c:v>
                </c:pt>
              </c:numCache>
            </c:numRef>
          </c:val>
          <c:extLst>
            <c:ext xmlns:c16="http://schemas.microsoft.com/office/drawing/2014/chart" uri="{C3380CC4-5D6E-409C-BE32-E72D297353CC}">
              <c16:uniqueId val="{00000001-1573-4742-B487-44C7D1130FA7}"/>
            </c:ext>
          </c:extLst>
        </c:ser>
        <c:ser>
          <c:idx val="2"/>
          <c:order val="2"/>
          <c:tx>
            <c:strRef>
              <c:f>'RT Travel Adjacent Regions'!$AT$53</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Regions'!$AQ$54:$AQ$58</c:f>
              <c:strCache>
                <c:ptCount val="5"/>
                <c:pt idx="0">
                  <c:v>Gilroy-Madera/                                  96miles</c:v>
                </c:pt>
                <c:pt idx="1">
                  <c:v>Gilroy-Fresno/                         121miles</c:v>
                </c:pt>
                <c:pt idx="2">
                  <c:v>San Jose-Fresno/                    151miles</c:v>
                </c:pt>
                <c:pt idx="3">
                  <c:v>Giroy-KT/Hanford/                  165miles</c:v>
                </c:pt>
                <c:pt idx="4">
                  <c:v>San Francisco-Madera/                                      178miles</c:v>
                </c:pt>
              </c:strCache>
            </c:strRef>
          </c:cat>
          <c:val>
            <c:numRef>
              <c:f>'RT Travel Adjacent Regions'!$AT$54:$AT$58</c:f>
              <c:numCache>
                <c:formatCode>"$"#,##0</c:formatCode>
                <c:ptCount val="5"/>
                <c:pt idx="0">
                  <c:v>519</c:v>
                </c:pt>
                <c:pt idx="1">
                  <c:v>504</c:v>
                </c:pt>
                <c:pt idx="2">
                  <c:v>489</c:v>
                </c:pt>
                <c:pt idx="3">
                  <c:v>519</c:v>
                </c:pt>
                <c:pt idx="4">
                  <c:v>561</c:v>
                </c:pt>
              </c:numCache>
            </c:numRef>
          </c:val>
          <c:extLst>
            <c:ext xmlns:c16="http://schemas.microsoft.com/office/drawing/2014/chart" uri="{C3380CC4-5D6E-409C-BE32-E72D297353CC}">
              <c16:uniqueId val="{00000002-1573-4742-B487-44C7D1130FA7}"/>
            </c:ext>
          </c:extLst>
        </c:ser>
        <c:ser>
          <c:idx val="3"/>
          <c:order val="3"/>
          <c:tx>
            <c:strRef>
              <c:f>'RT Travel Adjacent Regions'!$AU$53</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Regions'!$AQ$54:$AQ$58</c:f>
              <c:strCache>
                <c:ptCount val="5"/>
                <c:pt idx="0">
                  <c:v>Gilroy-Madera/                                  96miles</c:v>
                </c:pt>
                <c:pt idx="1">
                  <c:v>Gilroy-Fresno/                         121miles</c:v>
                </c:pt>
                <c:pt idx="2">
                  <c:v>San Jose-Fresno/                    151miles</c:v>
                </c:pt>
                <c:pt idx="3">
                  <c:v>Giroy-KT/Hanford/                  165miles</c:v>
                </c:pt>
                <c:pt idx="4">
                  <c:v>San Francisco-Madera/                                      178miles</c:v>
                </c:pt>
              </c:strCache>
            </c:strRef>
          </c:cat>
          <c:val>
            <c:numRef>
              <c:f>'RT Travel Adjacent Regions'!$AU$54:$AU$58</c:f>
              <c:numCache>
                <c:formatCode>0</c:formatCode>
                <c:ptCount val="5"/>
                <c:pt idx="0">
                  <c:v>55.350000000000023</c:v>
                </c:pt>
                <c:pt idx="1">
                  <c:v>-56.199999999999989</c:v>
                </c:pt>
                <c:pt idx="2">
                  <c:v>-34.099999999999966</c:v>
                </c:pt>
                <c:pt idx="3">
                  <c:v>-23.699999999999989</c:v>
                </c:pt>
                <c:pt idx="4">
                  <c:v>-10.5</c:v>
                </c:pt>
              </c:numCache>
            </c:numRef>
          </c:val>
          <c:extLst>
            <c:ext xmlns:c16="http://schemas.microsoft.com/office/drawing/2014/chart" uri="{C3380CC4-5D6E-409C-BE32-E72D297353CC}">
              <c16:uniqueId val="{00000003-1573-4742-B487-44C7D1130FA7}"/>
            </c:ext>
          </c:extLst>
        </c:ser>
        <c:ser>
          <c:idx val="4"/>
          <c:order val="4"/>
          <c:tx>
            <c:strRef>
              <c:f>'RT Travel Adjacent Regions'!$AV$53</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Regions'!$AQ$54:$AQ$58</c:f>
              <c:strCache>
                <c:ptCount val="5"/>
                <c:pt idx="0">
                  <c:v>Gilroy-Madera/                                  96miles</c:v>
                </c:pt>
                <c:pt idx="1">
                  <c:v>Gilroy-Fresno/                         121miles</c:v>
                </c:pt>
                <c:pt idx="2">
                  <c:v>San Jose-Fresno/                    151miles</c:v>
                </c:pt>
                <c:pt idx="3">
                  <c:v>Giroy-KT/Hanford/                  165miles</c:v>
                </c:pt>
                <c:pt idx="4">
                  <c:v>San Francisco-Madera/                                      178miles</c:v>
                </c:pt>
              </c:strCache>
            </c:strRef>
          </c:cat>
          <c:val>
            <c:numRef>
              <c:f>'RT Travel Adjacent Regions'!$AV$54:$AV$58</c:f>
              <c:numCache>
                <c:formatCode>#,##0</c:formatCode>
                <c:ptCount val="5"/>
                <c:pt idx="0">
                  <c:v>-536</c:v>
                </c:pt>
                <c:pt idx="1">
                  <c:v>-490</c:v>
                </c:pt>
                <c:pt idx="2">
                  <c:v>-438</c:v>
                </c:pt>
                <c:pt idx="3">
                  <c:v>-446</c:v>
                </c:pt>
                <c:pt idx="4">
                  <c:v>-6</c:v>
                </c:pt>
              </c:numCache>
            </c:numRef>
          </c:val>
          <c:extLst>
            <c:ext xmlns:c16="http://schemas.microsoft.com/office/drawing/2014/chart" uri="{C3380CC4-5D6E-409C-BE32-E72D297353CC}">
              <c16:uniqueId val="{00000004-1573-4742-B487-44C7D1130FA7}"/>
            </c:ext>
          </c:extLst>
        </c:ser>
        <c:dLbls>
          <c:showLegendKey val="0"/>
          <c:showVal val="0"/>
          <c:showCatName val="0"/>
          <c:showSerName val="0"/>
          <c:showPercent val="0"/>
          <c:showBubbleSize val="0"/>
        </c:dLbls>
        <c:gapWidth val="50"/>
        <c:axId val="1390685152"/>
        <c:axId val="1392330528"/>
      </c:barChart>
      <c:catAx>
        <c:axId val="1390685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392330528"/>
        <c:crosses val="autoZero"/>
        <c:auto val="1"/>
        <c:lblAlgn val="ctr"/>
        <c:lblOffset val="100"/>
        <c:noMultiLvlLbl val="0"/>
      </c:catAx>
      <c:valAx>
        <c:axId val="1392330528"/>
        <c:scaling>
          <c:orientation val="minMax"/>
          <c:max val="950"/>
          <c:min val="-55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390685152"/>
        <c:crosses val="autoZero"/>
        <c:crossBetween val="between"/>
      </c:valAx>
      <c:spPr>
        <a:noFill/>
        <a:ln>
          <a:noFill/>
        </a:ln>
        <a:effectLst/>
      </c:spPr>
    </c:plotArea>
    <c:legend>
      <c:legendPos val="b"/>
      <c:layout>
        <c:manualLayout>
          <c:xMode val="edge"/>
          <c:yMode val="edge"/>
          <c:x val="0"/>
          <c:y val="4.6836402324107462E-2"/>
          <c:w val="0.88194306275498757"/>
          <c:h val="0.215275450623475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14046910961306E-2"/>
          <c:y val="4.325031872729513E-2"/>
          <c:w val="0.9577002595019124"/>
          <c:h val="0.90655733035627484"/>
        </c:manualLayout>
      </c:layout>
      <c:barChart>
        <c:barDir val="col"/>
        <c:grouping val="clustered"/>
        <c:varyColors val="0"/>
        <c:ser>
          <c:idx val="0"/>
          <c:order val="0"/>
          <c:tx>
            <c:strRef>
              <c:f>'RT Travel Adjacent Regions'!$AR$77</c:f>
              <c:strCache>
                <c:ptCount val="1"/>
                <c:pt idx="0">
                  <c:v>SV-CV Period: Cost of Driving Alone Round-Trip @ 23¢/mile, the Authority's metric for fully-loaded auto costs</c:v>
                </c:pt>
              </c:strCache>
            </c:strRef>
          </c:tx>
          <c:spPr>
            <a:pattFill prst="pct5">
              <a:fgClr>
                <a:schemeClr val="tx2">
                  <a:lumMod val="60000"/>
                  <a:lumOff val="40000"/>
                </a:schemeClr>
              </a:fgClr>
              <a:bgClr>
                <a:srgbClr val="00009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Regions'!$AQ$78:$AQ$83</c:f>
              <c:strCache>
                <c:ptCount val="6"/>
                <c:pt idx="0">
                  <c:v>San Jose-KT (Hanford)/                 195miles</c:v>
                </c:pt>
                <c:pt idx="1">
                  <c:v>San Francisco-Fresno/                             199miles</c:v>
                </c:pt>
                <c:pt idx="2">
                  <c:v>San Jose-Merced/                                      210miles</c:v>
                </c:pt>
                <c:pt idx="3">
                  <c:v>Gilroy-Bakersfield/                           228miles</c:v>
                </c:pt>
                <c:pt idx="4">
                  <c:v>San Francisco-KT Hanford/                              243miles</c:v>
                </c:pt>
                <c:pt idx="5">
                  <c:v>San Jose-Bakersfield/                                      258miles</c:v>
                </c:pt>
              </c:strCache>
            </c:strRef>
          </c:cat>
          <c:val>
            <c:numRef>
              <c:f>'RT Travel Adjacent Regions'!$AR$78:$AR$83</c:f>
              <c:numCache>
                <c:formatCode>"$"#,##0</c:formatCode>
                <c:ptCount val="6"/>
                <c:pt idx="0">
                  <c:v>80.960000000000008</c:v>
                </c:pt>
                <c:pt idx="1">
                  <c:v>85.56</c:v>
                </c:pt>
                <c:pt idx="2">
                  <c:v>53.36</c:v>
                </c:pt>
                <c:pt idx="3">
                  <c:v>97.06</c:v>
                </c:pt>
                <c:pt idx="4">
                  <c:v>113.16000000000001</c:v>
                </c:pt>
                <c:pt idx="5">
                  <c:v>111.32000000000001</c:v>
                </c:pt>
              </c:numCache>
            </c:numRef>
          </c:val>
          <c:extLst>
            <c:ext xmlns:c16="http://schemas.microsoft.com/office/drawing/2014/chart" uri="{C3380CC4-5D6E-409C-BE32-E72D297353CC}">
              <c16:uniqueId val="{00000000-1900-CA4D-B7CA-75908C14EBC9}"/>
            </c:ext>
          </c:extLst>
        </c:ser>
        <c:ser>
          <c:idx val="1"/>
          <c:order val="1"/>
          <c:tx>
            <c:strRef>
              <c:f>'RT Travel Adjacent Regions'!$AS$77</c:f>
              <c:strCache>
                <c:ptCount val="1"/>
                <c:pt idx="0">
                  <c:v>SV-CV Period:    Per person cost of inter-regional round-trip by HSR Authority transport (+ supplemental) public transit</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FF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Regions'!$AQ$78:$AQ$83</c:f>
              <c:strCache>
                <c:ptCount val="6"/>
                <c:pt idx="0">
                  <c:v>San Jose-KT (Hanford)/                 195miles</c:v>
                </c:pt>
                <c:pt idx="1">
                  <c:v>San Francisco-Fresno/                             199miles</c:v>
                </c:pt>
                <c:pt idx="2">
                  <c:v>San Jose-Merced/                                      210miles</c:v>
                </c:pt>
                <c:pt idx="3">
                  <c:v>Gilroy-Bakersfield/                           228miles</c:v>
                </c:pt>
                <c:pt idx="4">
                  <c:v>San Francisco-KT Hanford/                              243miles</c:v>
                </c:pt>
                <c:pt idx="5">
                  <c:v>San Jose-Bakersfield/                                      258miles</c:v>
                </c:pt>
              </c:strCache>
            </c:strRef>
          </c:cat>
          <c:val>
            <c:numRef>
              <c:f>'RT Travel Adjacent Regions'!$AS$78:$AS$83</c:f>
              <c:numCache>
                <c:formatCode>"$"#,##0</c:formatCode>
                <c:ptCount val="6"/>
                <c:pt idx="0">
                  <c:v>165</c:v>
                </c:pt>
                <c:pt idx="1">
                  <c:v>171</c:v>
                </c:pt>
                <c:pt idx="2">
                  <c:v>149</c:v>
                </c:pt>
                <c:pt idx="3">
                  <c:v>187</c:v>
                </c:pt>
                <c:pt idx="4">
                  <c:v>187</c:v>
                </c:pt>
                <c:pt idx="5">
                  <c:v>197</c:v>
                </c:pt>
              </c:numCache>
            </c:numRef>
          </c:val>
          <c:extLst>
            <c:ext xmlns:c16="http://schemas.microsoft.com/office/drawing/2014/chart" uri="{C3380CC4-5D6E-409C-BE32-E72D297353CC}">
              <c16:uniqueId val="{00000001-1900-CA4D-B7CA-75908C14EBC9}"/>
            </c:ext>
          </c:extLst>
        </c:ser>
        <c:ser>
          <c:idx val="2"/>
          <c:order val="2"/>
          <c:tx>
            <c:strRef>
              <c:f>'RT Travel Adjacent Regions'!$AT$77</c:f>
              <c:strCache>
                <c:ptCount val="1"/>
                <c:pt idx="0">
                  <c:v>SV-CV Period: Round trip airfares and $23 of Round Trip access+egress costs</c:v>
                </c:pt>
              </c:strCache>
            </c:strRef>
          </c:tx>
          <c:spPr>
            <a:pattFill prst="pct75">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Regions'!$AQ$78:$AQ$83</c:f>
              <c:strCache>
                <c:ptCount val="6"/>
                <c:pt idx="0">
                  <c:v>San Jose-KT (Hanford)/                 195miles</c:v>
                </c:pt>
                <c:pt idx="1">
                  <c:v>San Francisco-Fresno/                             199miles</c:v>
                </c:pt>
                <c:pt idx="2">
                  <c:v>San Jose-Merced/                                      210miles</c:v>
                </c:pt>
                <c:pt idx="3">
                  <c:v>Gilroy-Bakersfield/                           228miles</c:v>
                </c:pt>
                <c:pt idx="4">
                  <c:v>San Francisco-KT Hanford/                              243miles</c:v>
                </c:pt>
                <c:pt idx="5">
                  <c:v>San Jose-Bakersfield/                                      258miles</c:v>
                </c:pt>
              </c:strCache>
            </c:strRef>
          </c:cat>
          <c:val>
            <c:numRef>
              <c:f>'RT Travel Adjacent Regions'!$AT$78:$AT$83</c:f>
              <c:numCache>
                <c:formatCode>"$"#,##0</c:formatCode>
                <c:ptCount val="6"/>
                <c:pt idx="0">
                  <c:v>504</c:v>
                </c:pt>
                <c:pt idx="1">
                  <c:v>546</c:v>
                </c:pt>
                <c:pt idx="2">
                  <c:v>504</c:v>
                </c:pt>
                <c:pt idx="3">
                  <c:v>768</c:v>
                </c:pt>
                <c:pt idx="4">
                  <c:v>561</c:v>
                </c:pt>
                <c:pt idx="5">
                  <c:v>753</c:v>
                </c:pt>
              </c:numCache>
            </c:numRef>
          </c:val>
          <c:extLst>
            <c:ext xmlns:c16="http://schemas.microsoft.com/office/drawing/2014/chart" uri="{C3380CC4-5D6E-409C-BE32-E72D297353CC}">
              <c16:uniqueId val="{00000002-1900-CA4D-B7CA-75908C14EBC9}"/>
            </c:ext>
          </c:extLst>
        </c:ser>
        <c:ser>
          <c:idx val="3"/>
          <c:order val="3"/>
          <c:tx>
            <c:strRef>
              <c:f>'RT Travel Adjacent Regions'!$AU$77</c:f>
              <c:strCache>
                <c:ptCount val="1"/>
                <c:pt idx="0">
                  <c:v>SV-CV Period: Total Travel Time gained (TTT minutes) round-trip using Auto vs. HSR  (negative # is TTT minutes more of Auto travel than HSR travel)</c:v>
                </c:pt>
              </c:strCache>
            </c:strRef>
          </c:tx>
          <c:spPr>
            <a:pattFill prst="openDmnd">
              <a:fgClr>
                <a:schemeClr val="bg1"/>
              </a:fgClr>
              <a:bgClr>
                <a:srgbClr val="008000"/>
              </a:bgClr>
            </a:pattFill>
            <a:ln>
              <a:noFill/>
            </a:ln>
            <a:effectLst/>
          </c:spPr>
          <c:invertIfNegative val="0"/>
          <c:dLbls>
            <c:dLbl>
              <c:idx val="3"/>
              <c:layout>
                <c:manualLayout>
                  <c:x val="-4.2463949295889765E-2"/>
                  <c:y val="4.71821658843219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00-CA4D-B7CA-75908C14EBC9}"/>
                </c:ext>
              </c:extLst>
            </c:dLbl>
            <c:dLbl>
              <c:idx val="5"/>
              <c:layout>
                <c:manualLayout>
                  <c:x val="-3.5386624413241467E-2"/>
                  <c:y val="4.71821658843221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00-CA4D-B7CA-75908C14EBC9}"/>
                </c:ext>
              </c:extLst>
            </c:dLbl>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8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Regions'!$AQ$78:$AQ$83</c:f>
              <c:strCache>
                <c:ptCount val="6"/>
                <c:pt idx="0">
                  <c:v>San Jose-KT (Hanford)/                 195miles</c:v>
                </c:pt>
                <c:pt idx="1">
                  <c:v>San Francisco-Fresno/                             199miles</c:v>
                </c:pt>
                <c:pt idx="2">
                  <c:v>San Jose-Merced/                                      210miles</c:v>
                </c:pt>
                <c:pt idx="3">
                  <c:v>Gilroy-Bakersfield/                           228miles</c:v>
                </c:pt>
                <c:pt idx="4">
                  <c:v>San Francisco-KT Hanford/                              243miles</c:v>
                </c:pt>
                <c:pt idx="5">
                  <c:v>San Jose-Bakersfield/                                      258miles</c:v>
                </c:pt>
              </c:strCache>
            </c:strRef>
          </c:cat>
          <c:val>
            <c:numRef>
              <c:f>'RT Travel Adjacent Regions'!$AU$78:$AU$83</c:f>
              <c:numCache>
                <c:formatCode>0</c:formatCode>
                <c:ptCount val="6"/>
                <c:pt idx="0">
                  <c:v>-29.199999999999989</c:v>
                </c:pt>
                <c:pt idx="1">
                  <c:v>17.100000000000023</c:v>
                </c:pt>
                <c:pt idx="2">
                  <c:v>92</c:v>
                </c:pt>
                <c:pt idx="3">
                  <c:v>-124.19999999999999</c:v>
                </c:pt>
                <c:pt idx="4">
                  <c:v>-60.799999999999955</c:v>
                </c:pt>
                <c:pt idx="5">
                  <c:v>-104.39999999999998</c:v>
                </c:pt>
              </c:numCache>
            </c:numRef>
          </c:val>
          <c:extLst>
            <c:ext xmlns:c16="http://schemas.microsoft.com/office/drawing/2014/chart" uri="{C3380CC4-5D6E-409C-BE32-E72D297353CC}">
              <c16:uniqueId val="{00000003-1900-CA4D-B7CA-75908C14EBC9}"/>
            </c:ext>
          </c:extLst>
        </c:ser>
        <c:ser>
          <c:idx val="4"/>
          <c:order val="4"/>
          <c:tx>
            <c:strRef>
              <c:f>'RT Travel Adjacent Regions'!$AV$77</c:f>
              <c:strCache>
                <c:ptCount val="1"/>
                <c:pt idx="0">
                  <c:v>SV-CV Period: Total Travel Time gained (TTT minutes) round-trip using Air vs. HSR (negative #s are TTT minutes saved by HSR travelers over Air travelers)</c:v>
                </c:pt>
              </c:strCache>
            </c:strRef>
          </c:tx>
          <c:spPr>
            <a:pattFill prst="lgCheck">
              <a:fgClr>
                <a:srgbClr val="3366FF"/>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3366FF"/>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'RT Travel Adjacent Regions'!$AQ$78:$AQ$83</c:f>
              <c:strCache>
                <c:ptCount val="6"/>
                <c:pt idx="0">
                  <c:v>San Jose-KT (Hanford)/                 195miles</c:v>
                </c:pt>
                <c:pt idx="1">
                  <c:v>San Francisco-Fresno/                             199miles</c:v>
                </c:pt>
                <c:pt idx="2">
                  <c:v>San Jose-Merced/                                      210miles</c:v>
                </c:pt>
                <c:pt idx="3">
                  <c:v>Gilroy-Bakersfield/                           228miles</c:v>
                </c:pt>
                <c:pt idx="4">
                  <c:v>San Francisco-KT Hanford/                              243miles</c:v>
                </c:pt>
                <c:pt idx="5">
                  <c:v>San Jose-Bakersfield/                                      258miles</c:v>
                </c:pt>
              </c:strCache>
            </c:strRef>
          </c:cat>
          <c:val>
            <c:numRef>
              <c:f>'RT Travel Adjacent Regions'!$AV$78:$AV$83</c:f>
              <c:numCache>
                <c:formatCode>#,##0</c:formatCode>
                <c:ptCount val="6"/>
                <c:pt idx="0">
                  <c:v>-394</c:v>
                </c:pt>
                <c:pt idx="1">
                  <c:v>40</c:v>
                </c:pt>
                <c:pt idx="2">
                  <c:v>-374</c:v>
                </c:pt>
                <c:pt idx="3">
                  <c:v>-704</c:v>
                </c:pt>
                <c:pt idx="4">
                  <c:v>84</c:v>
                </c:pt>
                <c:pt idx="5">
                  <c:v>-652</c:v>
                </c:pt>
              </c:numCache>
            </c:numRef>
          </c:val>
          <c:extLst>
            <c:ext xmlns:c16="http://schemas.microsoft.com/office/drawing/2014/chart" uri="{C3380CC4-5D6E-409C-BE32-E72D297353CC}">
              <c16:uniqueId val="{00000004-1900-CA4D-B7CA-75908C14EBC9}"/>
            </c:ext>
          </c:extLst>
        </c:ser>
        <c:dLbls>
          <c:showLegendKey val="0"/>
          <c:showVal val="0"/>
          <c:showCatName val="0"/>
          <c:showSerName val="0"/>
          <c:showPercent val="0"/>
          <c:showBubbleSize val="0"/>
        </c:dLbls>
        <c:gapWidth val="50"/>
        <c:axId val="1389736880"/>
        <c:axId val="1390011440"/>
      </c:barChart>
      <c:catAx>
        <c:axId val="13897368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crossAx val="1390011440"/>
        <c:crosses val="autoZero"/>
        <c:auto val="1"/>
        <c:lblAlgn val="ctr"/>
        <c:lblOffset val="100"/>
        <c:noMultiLvlLbl val="0"/>
      </c:catAx>
      <c:valAx>
        <c:axId val="1390011440"/>
        <c:scaling>
          <c:orientation val="minMax"/>
          <c:max val="1475"/>
          <c:min val="-800"/>
        </c:scaling>
        <c:delete val="0"/>
        <c:axPos val="l"/>
        <c:majorGridlines>
          <c:spPr>
            <a:ln w="12700" cap="flat" cmpd="sng" algn="ctr">
              <a:solidFill>
                <a:schemeClr val="bg1">
                  <a:lumMod val="65000"/>
                </a:schemeClr>
              </a:solidFill>
              <a:prstDash val="sysDot"/>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rgbClr val="FF0000"/>
                </a:solidFill>
                <a:latin typeface="+mn-lt"/>
                <a:ea typeface="+mn-ea"/>
                <a:cs typeface="+mn-cs"/>
              </a:defRPr>
            </a:pPr>
            <a:endParaRPr lang="en-US"/>
          </a:p>
        </c:txPr>
        <c:crossAx val="1389736880"/>
        <c:crosses val="autoZero"/>
        <c:crossBetween val="between"/>
      </c:valAx>
      <c:spPr>
        <a:noFill/>
        <a:ln>
          <a:noFill/>
        </a:ln>
        <a:effectLst/>
      </c:spPr>
    </c:plotArea>
    <c:legend>
      <c:legendPos val="b"/>
      <c:layout>
        <c:manualLayout>
          <c:xMode val="edge"/>
          <c:yMode val="edge"/>
          <c:x val="0"/>
          <c:y val="4.9417949727295463E-2"/>
          <c:w val="0.91863024991475306"/>
          <c:h val="0.25464840308182513"/>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20</xdr:col>
      <xdr:colOff>133350</xdr:colOff>
      <xdr:row>6</xdr:row>
      <xdr:rowOff>28574</xdr:rowOff>
    </xdr:from>
    <xdr:to>
      <xdr:col>27</xdr:col>
      <xdr:colOff>0</xdr:colOff>
      <xdr:row>16</xdr:row>
      <xdr:rowOff>273963</xdr:rowOff>
    </xdr:to>
    <xdr:graphicFrame macro="">
      <xdr:nvGraphicFramePr>
        <xdr:cNvPr id="9217" name="Chart 1">
          <a:extLst>
            <a:ext uri="{FF2B5EF4-FFF2-40B4-BE49-F238E27FC236}">
              <a16:creationId xmlns:a16="http://schemas.microsoft.com/office/drawing/2014/main" id="{00000000-0008-0000-00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104774</xdr:colOff>
      <xdr:row>31</xdr:row>
      <xdr:rowOff>190500</xdr:rowOff>
    </xdr:from>
    <xdr:to>
      <xdr:col>27</xdr:col>
      <xdr:colOff>126999</xdr:colOff>
      <xdr:row>42</xdr:row>
      <xdr:rowOff>176936</xdr:rowOff>
    </xdr:to>
    <xdr:graphicFrame macro="">
      <xdr:nvGraphicFramePr>
        <xdr:cNvPr id="9218" name="Chart 2">
          <a:extLst>
            <a:ext uri="{FF2B5EF4-FFF2-40B4-BE49-F238E27FC236}">
              <a16:creationId xmlns:a16="http://schemas.microsoft.com/office/drawing/2014/main" id="{00000000-0008-0000-0000-000002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300047</xdr:colOff>
      <xdr:row>60</xdr:row>
      <xdr:rowOff>161681</xdr:rowOff>
    </xdr:from>
    <xdr:to>
      <xdr:col>27</xdr:col>
      <xdr:colOff>146539</xdr:colOff>
      <xdr:row>76</xdr:row>
      <xdr:rowOff>28974</xdr:rowOff>
    </xdr:to>
    <xdr:graphicFrame macro="">
      <xdr:nvGraphicFramePr>
        <xdr:cNvPr id="9219" name="Chart 3">
          <a:extLst>
            <a:ext uri="{FF2B5EF4-FFF2-40B4-BE49-F238E27FC236}">
              <a16:creationId xmlns:a16="http://schemas.microsoft.com/office/drawing/2014/main" id="{00000000-0008-0000-0000-000003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52</xdr:row>
      <xdr:rowOff>0</xdr:rowOff>
    </xdr:from>
    <xdr:to>
      <xdr:col>42</xdr:col>
      <xdr:colOff>47625</xdr:colOff>
      <xdr:row>58</xdr:row>
      <xdr:rowOff>1628775</xdr:rowOff>
    </xdr:to>
    <xdr:graphicFrame macro="">
      <xdr:nvGraphicFramePr>
        <xdr:cNvPr id="13314" name="Chart 2">
          <a:extLst>
            <a:ext uri="{FF2B5EF4-FFF2-40B4-BE49-F238E27FC236}">
              <a16:creationId xmlns:a16="http://schemas.microsoft.com/office/drawing/2014/main" id="{00000000-0008-0000-0100-000002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0</xdr:colOff>
      <xdr:row>148</xdr:row>
      <xdr:rowOff>146518</xdr:rowOff>
    </xdr:from>
    <xdr:to>
      <xdr:col>42</xdr:col>
      <xdr:colOff>93134</xdr:colOff>
      <xdr:row>153</xdr:row>
      <xdr:rowOff>1769533</xdr:rowOff>
    </xdr:to>
    <xdr:graphicFrame macro="">
      <xdr:nvGraphicFramePr>
        <xdr:cNvPr id="2" name="Chart 1">
          <a:extLst>
            <a:ext uri="{FF2B5EF4-FFF2-40B4-BE49-F238E27FC236}">
              <a16:creationId xmlns:a16="http://schemas.microsoft.com/office/drawing/2014/main" id="{BB65E0C7-6485-2845-B6E4-17D1056434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48</xdr:col>
      <xdr:colOff>198966</xdr:colOff>
      <xdr:row>6</xdr:row>
      <xdr:rowOff>4234</xdr:rowOff>
    </xdr:from>
    <xdr:to>
      <xdr:col>53</xdr:col>
      <xdr:colOff>2185773</xdr:colOff>
      <xdr:row>12</xdr:row>
      <xdr:rowOff>1221154</xdr:rowOff>
    </xdr:to>
    <xdr:graphicFrame macro="">
      <xdr:nvGraphicFramePr>
        <xdr:cNvPr id="3" name="Chart 2">
          <a:extLst>
            <a:ext uri="{FF2B5EF4-FFF2-40B4-BE49-F238E27FC236}">
              <a16:creationId xmlns:a16="http://schemas.microsoft.com/office/drawing/2014/main" id="{C6FFCC85-27A7-FB45-BF74-2B7A383C40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48</xdr:col>
      <xdr:colOff>232832</xdr:colOff>
      <xdr:row>17</xdr:row>
      <xdr:rowOff>198965</xdr:rowOff>
    </xdr:from>
    <xdr:to>
      <xdr:col>53</xdr:col>
      <xdr:colOff>1363133</xdr:colOff>
      <xdr:row>24</xdr:row>
      <xdr:rowOff>682413</xdr:rowOff>
    </xdr:to>
    <xdr:graphicFrame macro="">
      <xdr:nvGraphicFramePr>
        <xdr:cNvPr id="4" name="Chart 3">
          <a:extLst>
            <a:ext uri="{FF2B5EF4-FFF2-40B4-BE49-F238E27FC236}">
              <a16:creationId xmlns:a16="http://schemas.microsoft.com/office/drawing/2014/main" id="{0D964B38-C13D-A644-AA9B-FB62389624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232832</xdr:colOff>
      <xdr:row>51</xdr:row>
      <xdr:rowOff>198966</xdr:rowOff>
    </xdr:from>
    <xdr:to>
      <xdr:col>53</xdr:col>
      <xdr:colOff>1721555</xdr:colOff>
      <xdr:row>58</xdr:row>
      <xdr:rowOff>939800</xdr:rowOff>
    </xdr:to>
    <xdr:graphicFrame macro="">
      <xdr:nvGraphicFramePr>
        <xdr:cNvPr id="5" name="Chart 4">
          <a:extLst>
            <a:ext uri="{FF2B5EF4-FFF2-40B4-BE49-F238E27FC236}">
              <a16:creationId xmlns:a16="http://schemas.microsoft.com/office/drawing/2014/main" id="{3509FDC6-14AA-DB41-84AB-517A28F56F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207434</xdr:colOff>
      <xdr:row>76</xdr:row>
      <xdr:rowOff>4233</xdr:rowOff>
    </xdr:from>
    <xdr:to>
      <xdr:col>53</xdr:col>
      <xdr:colOff>1399824</xdr:colOff>
      <xdr:row>83</xdr:row>
      <xdr:rowOff>558800</xdr:rowOff>
    </xdr:to>
    <xdr:graphicFrame macro="">
      <xdr:nvGraphicFramePr>
        <xdr:cNvPr id="7" name="Chart 6">
          <a:extLst>
            <a:ext uri="{FF2B5EF4-FFF2-40B4-BE49-F238E27FC236}">
              <a16:creationId xmlns:a16="http://schemas.microsoft.com/office/drawing/2014/main" id="{78D32B27-A54E-4947-8213-6707B4935C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48</xdr:col>
      <xdr:colOff>76200</xdr:colOff>
      <xdr:row>89</xdr:row>
      <xdr:rowOff>21165</xdr:rowOff>
    </xdr:from>
    <xdr:to>
      <xdr:col>53</xdr:col>
      <xdr:colOff>1309077</xdr:colOff>
      <xdr:row>95</xdr:row>
      <xdr:rowOff>777712</xdr:rowOff>
    </xdr:to>
    <xdr:graphicFrame macro="">
      <xdr:nvGraphicFramePr>
        <xdr:cNvPr id="6" name="Chart 5">
          <a:extLst>
            <a:ext uri="{FF2B5EF4-FFF2-40B4-BE49-F238E27FC236}">
              <a16:creationId xmlns:a16="http://schemas.microsoft.com/office/drawing/2014/main" id="{0699BF5A-EF8A-BD47-91D3-ED0B47BF5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152400</xdr:colOff>
      <xdr:row>101</xdr:row>
      <xdr:rowOff>46567</xdr:rowOff>
    </xdr:from>
    <xdr:to>
      <xdr:col>53</xdr:col>
      <xdr:colOff>1290974</xdr:colOff>
      <xdr:row>107</xdr:row>
      <xdr:rowOff>754063</xdr:rowOff>
    </xdr:to>
    <xdr:graphicFrame macro="">
      <xdr:nvGraphicFramePr>
        <xdr:cNvPr id="8" name="Chart 7">
          <a:extLst>
            <a:ext uri="{FF2B5EF4-FFF2-40B4-BE49-F238E27FC236}">
              <a16:creationId xmlns:a16="http://schemas.microsoft.com/office/drawing/2014/main" id="{704BA520-7863-5C42-9B00-DB4B49AF33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48</xdr:col>
      <xdr:colOff>300566</xdr:colOff>
      <xdr:row>112</xdr:row>
      <xdr:rowOff>190500</xdr:rowOff>
    </xdr:from>
    <xdr:to>
      <xdr:col>53</xdr:col>
      <xdr:colOff>1492956</xdr:colOff>
      <xdr:row>118</xdr:row>
      <xdr:rowOff>965200</xdr:rowOff>
    </xdr:to>
    <xdr:graphicFrame macro="">
      <xdr:nvGraphicFramePr>
        <xdr:cNvPr id="9" name="Chart 8">
          <a:extLst>
            <a:ext uri="{FF2B5EF4-FFF2-40B4-BE49-F238E27FC236}">
              <a16:creationId xmlns:a16="http://schemas.microsoft.com/office/drawing/2014/main" id="{0C616C36-E728-A54F-8115-7C315B50B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48</xdr:col>
      <xdr:colOff>313266</xdr:colOff>
      <xdr:row>124</xdr:row>
      <xdr:rowOff>29633</xdr:rowOff>
    </xdr:from>
    <xdr:to>
      <xdr:col>53</xdr:col>
      <xdr:colOff>2150533</xdr:colOff>
      <xdr:row>130</xdr:row>
      <xdr:rowOff>1140460</xdr:rowOff>
    </xdr:to>
    <xdr:graphicFrame macro="">
      <xdr:nvGraphicFramePr>
        <xdr:cNvPr id="10" name="Chart 9">
          <a:extLst>
            <a:ext uri="{FF2B5EF4-FFF2-40B4-BE49-F238E27FC236}">
              <a16:creationId xmlns:a16="http://schemas.microsoft.com/office/drawing/2014/main" id="{F6CBB4AA-4882-D748-8D94-A535DD7204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48</xdr:col>
      <xdr:colOff>33866</xdr:colOff>
      <xdr:row>158</xdr:row>
      <xdr:rowOff>198966</xdr:rowOff>
    </xdr:from>
    <xdr:to>
      <xdr:col>53</xdr:col>
      <xdr:colOff>1536699</xdr:colOff>
      <xdr:row>164</xdr:row>
      <xdr:rowOff>1100666</xdr:rowOff>
    </xdr:to>
    <xdr:graphicFrame macro="">
      <xdr:nvGraphicFramePr>
        <xdr:cNvPr id="11" name="Chart 10">
          <a:extLst>
            <a:ext uri="{FF2B5EF4-FFF2-40B4-BE49-F238E27FC236}">
              <a16:creationId xmlns:a16="http://schemas.microsoft.com/office/drawing/2014/main" id="{B2BF8112-7028-984A-B04F-611F152D5F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48</xdr:col>
      <xdr:colOff>137583</xdr:colOff>
      <xdr:row>30</xdr:row>
      <xdr:rowOff>11289</xdr:rowOff>
    </xdr:from>
    <xdr:to>
      <xdr:col>53</xdr:col>
      <xdr:colOff>2448277</xdr:colOff>
      <xdr:row>39</xdr:row>
      <xdr:rowOff>14817</xdr:rowOff>
    </xdr:to>
    <xdr:graphicFrame macro="">
      <xdr:nvGraphicFramePr>
        <xdr:cNvPr id="14" name="Chart 13">
          <a:extLst>
            <a:ext uri="{FF2B5EF4-FFF2-40B4-BE49-F238E27FC236}">
              <a16:creationId xmlns:a16="http://schemas.microsoft.com/office/drawing/2014/main" id="{22507248-60B5-7A48-9F92-68CCF97E75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48</xdr:col>
      <xdr:colOff>97366</xdr:colOff>
      <xdr:row>64</xdr:row>
      <xdr:rowOff>52429</xdr:rowOff>
    </xdr:from>
    <xdr:to>
      <xdr:col>53</xdr:col>
      <xdr:colOff>2394112</xdr:colOff>
      <xdr:row>70</xdr:row>
      <xdr:rowOff>1191196</xdr:rowOff>
    </xdr:to>
    <xdr:graphicFrame macro="">
      <xdr:nvGraphicFramePr>
        <xdr:cNvPr id="15" name="Chart 14">
          <a:extLst>
            <a:ext uri="{FF2B5EF4-FFF2-40B4-BE49-F238E27FC236}">
              <a16:creationId xmlns:a16="http://schemas.microsoft.com/office/drawing/2014/main" id="{D9AD1897-A91F-3440-A262-F884B294AE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48</xdr:col>
      <xdr:colOff>334434</xdr:colOff>
      <xdr:row>136</xdr:row>
      <xdr:rowOff>452964</xdr:rowOff>
    </xdr:from>
    <xdr:to>
      <xdr:col>53</xdr:col>
      <xdr:colOff>2637692</xdr:colOff>
      <xdr:row>142</xdr:row>
      <xdr:rowOff>1836614</xdr:rowOff>
    </xdr:to>
    <xdr:graphicFrame macro="">
      <xdr:nvGraphicFramePr>
        <xdr:cNvPr id="18" name="Chart 17">
          <a:extLst>
            <a:ext uri="{FF2B5EF4-FFF2-40B4-BE49-F238E27FC236}">
              <a16:creationId xmlns:a16="http://schemas.microsoft.com/office/drawing/2014/main" id="{F4A90014-6D2E-9045-9F42-9A5B072DAD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48</xdr:col>
      <xdr:colOff>83037</xdr:colOff>
      <xdr:row>148</xdr:row>
      <xdr:rowOff>10745</xdr:rowOff>
    </xdr:from>
    <xdr:to>
      <xdr:col>53</xdr:col>
      <xdr:colOff>2458591</xdr:colOff>
      <xdr:row>153</xdr:row>
      <xdr:rowOff>1592385</xdr:rowOff>
    </xdr:to>
    <xdr:graphicFrame macro="">
      <xdr:nvGraphicFramePr>
        <xdr:cNvPr id="17" name="Chart 16">
          <a:extLst>
            <a:ext uri="{FF2B5EF4-FFF2-40B4-BE49-F238E27FC236}">
              <a16:creationId xmlns:a16="http://schemas.microsoft.com/office/drawing/2014/main" id="{20B92E2D-FECE-3040-B16D-68FFE10C02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30</xdr:row>
      <xdr:rowOff>19050</xdr:rowOff>
    </xdr:from>
    <xdr:to>
      <xdr:col>42</xdr:col>
      <xdr:colOff>76200</xdr:colOff>
      <xdr:row>37</xdr:row>
      <xdr:rowOff>28575</xdr:rowOff>
    </xdr:to>
    <xdr:graphicFrame macro="">
      <xdr:nvGraphicFramePr>
        <xdr:cNvPr id="7176" name="Chart 3">
          <a:extLst>
            <a:ext uri="{FF2B5EF4-FFF2-40B4-BE49-F238E27FC236}">
              <a16:creationId xmlns:a16="http://schemas.microsoft.com/office/drawing/2014/main" id="{00000000-0008-0000-0200-000008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16280</xdr:colOff>
      <xdr:row>6</xdr:row>
      <xdr:rowOff>22142</xdr:rowOff>
    </xdr:from>
    <xdr:to>
      <xdr:col>55</xdr:col>
      <xdr:colOff>117230</xdr:colOff>
      <xdr:row>12</xdr:row>
      <xdr:rowOff>1025451</xdr:rowOff>
    </xdr:to>
    <xdr:graphicFrame macro="">
      <xdr:nvGraphicFramePr>
        <xdr:cNvPr id="6" name="Chart 5">
          <a:extLst>
            <a:ext uri="{FF2B5EF4-FFF2-40B4-BE49-F238E27FC236}">
              <a16:creationId xmlns:a16="http://schemas.microsoft.com/office/drawing/2014/main" id="{F9BBA1D1-31CE-7646-8350-32FE193CC3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48</xdr:col>
      <xdr:colOff>99319</xdr:colOff>
      <xdr:row>18</xdr:row>
      <xdr:rowOff>20513</xdr:rowOff>
    </xdr:from>
    <xdr:to>
      <xdr:col>55</xdr:col>
      <xdr:colOff>351692</xdr:colOff>
      <xdr:row>24</xdr:row>
      <xdr:rowOff>1026477</xdr:rowOff>
    </xdr:to>
    <xdr:graphicFrame macro="">
      <xdr:nvGraphicFramePr>
        <xdr:cNvPr id="4" name="Chart 3">
          <a:extLst>
            <a:ext uri="{FF2B5EF4-FFF2-40B4-BE49-F238E27FC236}">
              <a16:creationId xmlns:a16="http://schemas.microsoft.com/office/drawing/2014/main" id="{963288F0-AF01-7E49-BB2B-3C174974C7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48</xdr:col>
      <xdr:colOff>91178</xdr:colOff>
      <xdr:row>29</xdr:row>
      <xdr:rowOff>183336</xdr:rowOff>
    </xdr:from>
    <xdr:to>
      <xdr:col>55</xdr:col>
      <xdr:colOff>771728</xdr:colOff>
      <xdr:row>41</xdr:row>
      <xdr:rowOff>117231</xdr:rowOff>
    </xdr:to>
    <xdr:graphicFrame macro="">
      <xdr:nvGraphicFramePr>
        <xdr:cNvPr id="5" name="Chart 4">
          <a:extLst>
            <a:ext uri="{FF2B5EF4-FFF2-40B4-BE49-F238E27FC236}">
              <a16:creationId xmlns:a16="http://schemas.microsoft.com/office/drawing/2014/main" id="{67590BAC-2558-2549-A17E-449571C3E9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91180</xdr:colOff>
      <xdr:row>49</xdr:row>
      <xdr:rowOff>150773</xdr:rowOff>
    </xdr:from>
    <xdr:to>
      <xdr:col>55</xdr:col>
      <xdr:colOff>600813</xdr:colOff>
      <xdr:row>61</xdr:row>
      <xdr:rowOff>185615</xdr:rowOff>
    </xdr:to>
    <xdr:graphicFrame macro="">
      <xdr:nvGraphicFramePr>
        <xdr:cNvPr id="7" name="Chart 6">
          <a:extLst>
            <a:ext uri="{FF2B5EF4-FFF2-40B4-BE49-F238E27FC236}">
              <a16:creationId xmlns:a16="http://schemas.microsoft.com/office/drawing/2014/main" id="{AD3D0912-8820-214C-9868-90FE30AAD5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119673</xdr:colOff>
      <xdr:row>71</xdr:row>
      <xdr:rowOff>12374</xdr:rowOff>
    </xdr:from>
    <xdr:to>
      <xdr:col>55</xdr:col>
      <xdr:colOff>508329</xdr:colOff>
      <xdr:row>76</xdr:row>
      <xdr:rowOff>1279769</xdr:rowOff>
    </xdr:to>
    <xdr:graphicFrame macro="">
      <xdr:nvGraphicFramePr>
        <xdr:cNvPr id="8" name="Chart 7">
          <a:extLst>
            <a:ext uri="{FF2B5EF4-FFF2-40B4-BE49-F238E27FC236}">
              <a16:creationId xmlns:a16="http://schemas.microsoft.com/office/drawing/2014/main" id="{76A569ED-07F5-D742-AFEC-4E5EAED2F1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656979</xdr:colOff>
      <xdr:row>81</xdr:row>
      <xdr:rowOff>80760</xdr:rowOff>
    </xdr:from>
    <xdr:to>
      <xdr:col>55</xdr:col>
      <xdr:colOff>688313</xdr:colOff>
      <xdr:row>87</xdr:row>
      <xdr:rowOff>1025769</xdr:rowOff>
    </xdr:to>
    <xdr:graphicFrame macro="">
      <xdr:nvGraphicFramePr>
        <xdr:cNvPr id="9" name="Chart 8">
          <a:extLst>
            <a:ext uri="{FF2B5EF4-FFF2-40B4-BE49-F238E27FC236}">
              <a16:creationId xmlns:a16="http://schemas.microsoft.com/office/drawing/2014/main" id="{CB5645CA-0449-D04C-AD7D-170F9DE91E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111531</xdr:colOff>
      <xdr:row>93</xdr:row>
      <xdr:rowOff>87922</xdr:rowOff>
    </xdr:from>
    <xdr:to>
      <xdr:col>55</xdr:col>
      <xdr:colOff>646265</xdr:colOff>
      <xdr:row>98</xdr:row>
      <xdr:rowOff>1258634</xdr:rowOff>
    </xdr:to>
    <xdr:graphicFrame macro="">
      <xdr:nvGraphicFramePr>
        <xdr:cNvPr id="10" name="Chart 9">
          <a:extLst>
            <a:ext uri="{FF2B5EF4-FFF2-40B4-BE49-F238E27FC236}">
              <a16:creationId xmlns:a16="http://schemas.microsoft.com/office/drawing/2014/main" id="{7445E172-BB71-CC4E-9798-336C4ACBF4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48</xdr:col>
      <xdr:colOff>140026</xdr:colOff>
      <xdr:row>103</xdr:row>
      <xdr:rowOff>199618</xdr:rowOff>
    </xdr:from>
    <xdr:to>
      <xdr:col>55</xdr:col>
      <xdr:colOff>660315</xdr:colOff>
      <xdr:row>109</xdr:row>
      <xdr:rowOff>1143000</xdr:rowOff>
    </xdr:to>
    <xdr:graphicFrame macro="">
      <xdr:nvGraphicFramePr>
        <xdr:cNvPr id="11" name="Chart 10">
          <a:extLst>
            <a:ext uri="{FF2B5EF4-FFF2-40B4-BE49-F238E27FC236}">
              <a16:creationId xmlns:a16="http://schemas.microsoft.com/office/drawing/2014/main" id="{2D3D4615-DB1A-7B41-9992-F067DDADC0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48</xdr:col>
      <xdr:colOff>91180</xdr:colOff>
      <xdr:row>115</xdr:row>
      <xdr:rowOff>20515</xdr:rowOff>
    </xdr:from>
    <xdr:to>
      <xdr:col>55</xdr:col>
      <xdr:colOff>656711</xdr:colOff>
      <xdr:row>121</xdr:row>
      <xdr:rowOff>1058334</xdr:rowOff>
    </xdr:to>
    <xdr:graphicFrame macro="">
      <xdr:nvGraphicFramePr>
        <xdr:cNvPr id="2" name="Chart 1">
          <a:extLst>
            <a:ext uri="{FF2B5EF4-FFF2-40B4-BE49-F238E27FC236}">
              <a16:creationId xmlns:a16="http://schemas.microsoft.com/office/drawing/2014/main" id="{40F7BC6C-259F-E94D-925E-F342F9C7A6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49</xdr:col>
      <xdr:colOff>345551</xdr:colOff>
      <xdr:row>4</xdr:row>
      <xdr:rowOff>298015</xdr:rowOff>
    </xdr:from>
    <xdr:to>
      <xdr:col>56</xdr:col>
      <xdr:colOff>713388</xdr:colOff>
      <xdr:row>12</xdr:row>
      <xdr:rowOff>622789</xdr:rowOff>
    </xdr:to>
    <xdr:graphicFrame macro="">
      <xdr:nvGraphicFramePr>
        <xdr:cNvPr id="2" name="Chart 1">
          <a:extLst>
            <a:ext uri="{FF2B5EF4-FFF2-40B4-BE49-F238E27FC236}">
              <a16:creationId xmlns:a16="http://schemas.microsoft.com/office/drawing/2014/main" id="{6E2AF4FF-5106-ED41-B870-7B339471B2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49</xdr:col>
      <xdr:colOff>294827</xdr:colOff>
      <xdr:row>15</xdr:row>
      <xdr:rowOff>352207</xdr:rowOff>
    </xdr:from>
    <xdr:to>
      <xdr:col>56</xdr:col>
      <xdr:colOff>735992</xdr:colOff>
      <xdr:row>23</xdr:row>
      <xdr:rowOff>819802</xdr:rowOff>
    </xdr:to>
    <xdr:graphicFrame macro="">
      <xdr:nvGraphicFramePr>
        <xdr:cNvPr id="3" name="Chart 2">
          <a:extLst>
            <a:ext uri="{FF2B5EF4-FFF2-40B4-BE49-F238E27FC236}">
              <a16:creationId xmlns:a16="http://schemas.microsoft.com/office/drawing/2014/main" id="{AB45BCE5-6D41-DB45-BC95-82D798EAEF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50</xdr:col>
      <xdr:colOff>28944</xdr:colOff>
      <xdr:row>27</xdr:row>
      <xdr:rowOff>132380</xdr:rowOff>
    </xdr:from>
    <xdr:to>
      <xdr:col>56</xdr:col>
      <xdr:colOff>712782</xdr:colOff>
      <xdr:row>33</xdr:row>
      <xdr:rowOff>979914</xdr:rowOff>
    </xdr:to>
    <xdr:graphicFrame macro="">
      <xdr:nvGraphicFramePr>
        <xdr:cNvPr id="4" name="Chart 3">
          <a:extLst>
            <a:ext uri="{FF2B5EF4-FFF2-40B4-BE49-F238E27FC236}">
              <a16:creationId xmlns:a16="http://schemas.microsoft.com/office/drawing/2014/main" id="{27D24DF9-9E9C-4D42-B75B-7049266878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49</xdr:col>
      <xdr:colOff>165506</xdr:colOff>
      <xdr:row>36</xdr:row>
      <xdr:rowOff>366232</xdr:rowOff>
    </xdr:from>
    <xdr:to>
      <xdr:col>56</xdr:col>
      <xdr:colOff>696546</xdr:colOff>
      <xdr:row>43</xdr:row>
      <xdr:rowOff>1105551</xdr:rowOff>
    </xdr:to>
    <xdr:graphicFrame macro="">
      <xdr:nvGraphicFramePr>
        <xdr:cNvPr id="5" name="Chart 4">
          <a:extLst>
            <a:ext uri="{FF2B5EF4-FFF2-40B4-BE49-F238E27FC236}">
              <a16:creationId xmlns:a16="http://schemas.microsoft.com/office/drawing/2014/main" id="{48A26809-C523-044F-B90F-1842304E9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50</xdr:col>
      <xdr:colOff>34809</xdr:colOff>
      <xdr:row>47</xdr:row>
      <xdr:rowOff>125750</xdr:rowOff>
    </xdr:from>
    <xdr:to>
      <xdr:col>57</xdr:col>
      <xdr:colOff>13025</xdr:colOff>
      <xdr:row>58</xdr:row>
      <xdr:rowOff>44986</xdr:rowOff>
    </xdr:to>
    <xdr:graphicFrame macro="">
      <xdr:nvGraphicFramePr>
        <xdr:cNvPr id="6" name="Chart 5">
          <a:extLst>
            <a:ext uri="{FF2B5EF4-FFF2-40B4-BE49-F238E27FC236}">
              <a16:creationId xmlns:a16="http://schemas.microsoft.com/office/drawing/2014/main" id="{A9228B79-7FE6-D943-8058-281608C1B3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49</xdr:col>
      <xdr:colOff>370543</xdr:colOff>
      <xdr:row>67</xdr:row>
      <xdr:rowOff>339075</xdr:rowOff>
    </xdr:from>
    <xdr:to>
      <xdr:col>57</xdr:col>
      <xdr:colOff>42274</xdr:colOff>
      <xdr:row>75</xdr:row>
      <xdr:rowOff>780724</xdr:rowOff>
    </xdr:to>
    <xdr:graphicFrame macro="">
      <xdr:nvGraphicFramePr>
        <xdr:cNvPr id="7" name="Chart 6">
          <a:extLst>
            <a:ext uri="{FF2B5EF4-FFF2-40B4-BE49-F238E27FC236}">
              <a16:creationId xmlns:a16="http://schemas.microsoft.com/office/drawing/2014/main" id="{70F6A46F-78BF-3B48-ADDF-E09BFF5674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abcnews.go.com/US/time-americans-waste-traffic/story?id=33313765" TargetMode="External"/><Relationship Id="rId7" Type="http://schemas.openxmlformats.org/officeDocument/2006/relationships/hyperlink" Target="http://abcnews.go.com/US/time-americans-waste-traffic/story?id=33313765" TargetMode="External"/><Relationship Id="rId2" Type="http://schemas.openxmlformats.org/officeDocument/2006/relationships/hyperlink" Target="http://abcnews.go.com/US/time-americans-waste-traffic/story?id=33313765" TargetMode="External"/><Relationship Id="rId1" Type="http://schemas.openxmlformats.org/officeDocument/2006/relationships/hyperlink" Target="http://abcnews.go.com/US/time-americans-waste-traffic/story?id=33313765" TargetMode="External"/><Relationship Id="rId6" Type="http://schemas.openxmlformats.org/officeDocument/2006/relationships/hyperlink" Target="http://abcnews.go.com/US/time-americans-waste-traffic/story?id=33313765" TargetMode="External"/><Relationship Id="rId5" Type="http://schemas.openxmlformats.org/officeDocument/2006/relationships/hyperlink" Target="http://abcnews.go.com/US/time-americans-waste-traffic/story?id=33313765" TargetMode="External"/><Relationship Id="rId4" Type="http://schemas.openxmlformats.org/officeDocument/2006/relationships/hyperlink" Target="http://abcnews.go.com/US/time-americans-waste-traffic/story?id=33313765"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8"/>
  <sheetViews>
    <sheetView topLeftCell="A49" zoomScaleNormal="100" zoomScalePageLayoutView="135" workbookViewId="0">
      <selection activeCell="T12" sqref="T12"/>
    </sheetView>
  </sheetViews>
  <sheetFormatPr baseColWidth="10" defaultColWidth="10.83203125" defaultRowHeight="16"/>
  <cols>
    <col min="1" max="1" width="9" style="12" customWidth="1"/>
    <col min="2" max="2" width="7" style="85" customWidth="1"/>
    <col min="3" max="3" width="38.33203125" style="12" customWidth="1"/>
    <col min="4" max="4" width="8.83203125" style="166" customWidth="1"/>
    <col min="5" max="5" width="9.1640625" style="12" customWidth="1"/>
    <col min="6" max="6" width="10.83203125" style="12" customWidth="1"/>
    <col min="7" max="7" width="12.33203125" style="12" customWidth="1"/>
    <col min="8" max="8" width="10.83203125" style="12" customWidth="1"/>
    <col min="9" max="9" width="12.33203125" style="12" customWidth="1"/>
    <col min="10" max="10" width="11.83203125" style="12" customWidth="1"/>
    <col min="11" max="11" width="10.83203125" style="12"/>
    <col min="12" max="12" width="11.1640625" style="12" customWidth="1"/>
    <col min="13" max="13" width="13.6640625" style="12" customWidth="1"/>
    <col min="14" max="14" width="11.1640625" style="12" customWidth="1"/>
    <col min="15" max="15" width="0.83203125" style="852" customWidth="1"/>
    <col min="16" max="16" width="60.33203125" style="12" customWidth="1"/>
    <col min="17" max="17" width="8.33203125" style="12" customWidth="1"/>
    <col min="18" max="18" width="9.83203125" style="12" customWidth="1"/>
    <col min="19" max="19" width="8.83203125" style="12" customWidth="1"/>
    <col min="20" max="20" width="9.1640625" style="12" customWidth="1"/>
    <col min="21" max="28" width="10.83203125" style="12"/>
    <col min="29" max="29" width="10.1640625" style="972" customWidth="1"/>
    <col min="30" max="16384" width="10.83203125" style="12"/>
  </cols>
  <sheetData>
    <row r="1" spans="1:29" ht="33" customHeight="1">
      <c r="C1" s="1356" t="s">
        <v>150</v>
      </c>
      <c r="D1" s="1356"/>
      <c r="E1" s="1356"/>
      <c r="F1" s="1356"/>
      <c r="G1" s="1356"/>
      <c r="H1" s="1356"/>
      <c r="I1" s="1356"/>
      <c r="J1" s="1356"/>
      <c r="K1" s="1356"/>
      <c r="L1" s="1356"/>
      <c r="M1" s="1356"/>
      <c r="N1" s="1356"/>
    </row>
    <row r="2" spans="1:29" ht="23" customHeight="1">
      <c r="A2" s="1339" t="s">
        <v>330</v>
      </c>
      <c r="B2" s="1344" t="s">
        <v>335</v>
      </c>
      <c r="C2" s="1360" t="s">
        <v>725</v>
      </c>
      <c r="D2" s="1361"/>
      <c r="E2" s="1361"/>
      <c r="F2" s="1361"/>
      <c r="G2" s="1361"/>
      <c r="H2" s="1361"/>
      <c r="I2" s="1361"/>
      <c r="J2" s="1361"/>
      <c r="K2" s="1361"/>
      <c r="L2" s="1361"/>
      <c r="M2" s="1361"/>
      <c r="N2" s="1361"/>
      <c r="O2" s="1361"/>
      <c r="P2" s="1361"/>
      <c r="Q2" s="1361"/>
      <c r="R2" s="1361"/>
      <c r="S2" s="1361"/>
      <c r="T2" s="1361"/>
      <c r="U2" s="1361"/>
      <c r="V2" s="1361"/>
      <c r="W2" s="1361"/>
      <c r="X2" s="1361"/>
    </row>
    <row r="3" spans="1:29" s="768" customFormat="1" ht="28" customHeight="1">
      <c r="A3" s="1340"/>
      <c r="B3" s="1345"/>
      <c r="C3" s="787" t="s">
        <v>326</v>
      </c>
      <c r="D3" s="1341" t="s">
        <v>789</v>
      </c>
      <c r="E3" s="1342"/>
      <c r="F3" s="1342"/>
      <c r="G3" s="1342"/>
      <c r="H3" s="1342"/>
      <c r="I3" s="1342"/>
      <c r="J3" s="401"/>
      <c r="K3" s="1343" t="s">
        <v>788</v>
      </c>
      <c r="L3" s="1343"/>
      <c r="M3" s="1343"/>
      <c r="N3" s="1343"/>
      <c r="O3" s="853"/>
      <c r="P3" s="767"/>
      <c r="Q3" s="767"/>
      <c r="R3" s="767"/>
      <c r="S3" s="767"/>
      <c r="T3" s="767"/>
      <c r="U3" s="767"/>
      <c r="V3" s="767"/>
      <c r="W3" s="767"/>
      <c r="X3" s="767"/>
      <c r="AC3" s="813"/>
    </row>
    <row r="4" spans="1:29" ht="30" customHeight="1">
      <c r="B4" s="263"/>
      <c r="C4" s="503" t="s">
        <v>116</v>
      </c>
      <c r="D4" s="1366" t="s">
        <v>39</v>
      </c>
      <c r="E4" s="1367"/>
      <c r="F4" s="1367"/>
      <c r="G4" s="1367"/>
      <c r="H4" s="1368"/>
      <c r="I4" s="1369"/>
      <c r="J4" s="443"/>
      <c r="K4" s="443"/>
      <c r="L4" s="443"/>
      <c r="M4" s="443"/>
      <c r="N4" s="443"/>
      <c r="O4" s="854"/>
      <c r="P4" s="443"/>
      <c r="Q4" s="443"/>
      <c r="R4" s="443"/>
      <c r="S4" s="443"/>
      <c r="T4" s="443"/>
      <c r="U4" s="443"/>
      <c r="V4" s="443"/>
      <c r="W4" s="443"/>
      <c r="X4" s="443"/>
      <c r="AC4" s="980" t="s">
        <v>783</v>
      </c>
    </row>
    <row r="5" spans="1:29" ht="15" customHeight="1">
      <c r="B5" s="263"/>
      <c r="C5" s="505"/>
      <c r="D5" s="371">
        <v>1</v>
      </c>
      <c r="E5" s="371">
        <f t="shared" ref="E5:N5" si="0">D5+1</f>
        <v>2</v>
      </c>
      <c r="F5" s="371">
        <f t="shared" si="0"/>
        <v>3</v>
      </c>
      <c r="G5" s="371">
        <f t="shared" si="0"/>
        <v>4</v>
      </c>
      <c r="H5" s="371">
        <f t="shared" si="0"/>
        <v>5</v>
      </c>
      <c r="I5" s="371">
        <f t="shared" si="0"/>
        <v>6</v>
      </c>
      <c r="J5" s="371">
        <f t="shared" si="0"/>
        <v>7</v>
      </c>
      <c r="K5" s="371">
        <f t="shared" si="0"/>
        <v>8</v>
      </c>
      <c r="L5" s="371">
        <f t="shared" si="0"/>
        <v>9</v>
      </c>
      <c r="M5" s="371">
        <f t="shared" si="0"/>
        <v>10</v>
      </c>
      <c r="N5" s="371">
        <f t="shared" si="0"/>
        <v>11</v>
      </c>
      <c r="AC5" s="981" t="s">
        <v>784</v>
      </c>
    </row>
    <row r="6" spans="1:29">
      <c r="B6" s="85" t="s">
        <v>29</v>
      </c>
      <c r="C6" s="1370" t="s">
        <v>1197</v>
      </c>
      <c r="D6" s="1353" t="s">
        <v>726</v>
      </c>
      <c r="E6" s="1353" t="s">
        <v>727</v>
      </c>
      <c r="F6" s="1353" t="s">
        <v>800</v>
      </c>
      <c r="G6" s="1353" t="s">
        <v>801</v>
      </c>
      <c r="H6" s="1357" t="s">
        <v>409</v>
      </c>
      <c r="I6" s="1357" t="s">
        <v>728</v>
      </c>
      <c r="J6" s="1357" t="s">
        <v>729</v>
      </c>
      <c r="K6" s="1349" t="s">
        <v>802</v>
      </c>
      <c r="L6" s="1349" t="s">
        <v>803</v>
      </c>
      <c r="M6" s="1349" t="s">
        <v>804</v>
      </c>
      <c r="N6" s="1357" t="s">
        <v>805</v>
      </c>
      <c r="O6" s="855"/>
      <c r="P6" s="43"/>
      <c r="Q6" s="14"/>
      <c r="R6" s="372"/>
      <c r="S6" s="372"/>
      <c r="T6" s="373"/>
      <c r="U6" s="374" t="s">
        <v>730</v>
      </c>
      <c r="AC6" s="982" t="s">
        <v>785</v>
      </c>
    </row>
    <row r="7" spans="1:29" s="375" customFormat="1" ht="116" customHeight="1">
      <c r="B7" s="335"/>
      <c r="C7" s="1370"/>
      <c r="D7" s="1353"/>
      <c r="E7" s="1353"/>
      <c r="F7" s="1353"/>
      <c r="G7" s="1354"/>
      <c r="H7" s="1359"/>
      <c r="I7" s="1358"/>
      <c r="J7" s="1357"/>
      <c r="K7" s="1349"/>
      <c r="L7" s="1349"/>
      <c r="M7" s="1349"/>
      <c r="N7" s="1357"/>
      <c r="O7" s="856"/>
      <c r="P7" s="1275" t="s">
        <v>799</v>
      </c>
      <c r="Q7" s="14" t="s">
        <v>731</v>
      </c>
      <c r="R7" s="14" t="s">
        <v>125</v>
      </c>
      <c r="S7" s="840" t="s">
        <v>149</v>
      </c>
      <c r="T7" s="840" t="s">
        <v>745</v>
      </c>
      <c r="U7" s="12"/>
      <c r="V7" s="12"/>
      <c r="W7" s="12"/>
      <c r="X7" s="12"/>
      <c r="Y7" s="12"/>
      <c r="Z7" s="12"/>
      <c r="AC7" s="976" t="s">
        <v>782</v>
      </c>
    </row>
    <row r="8" spans="1:29" s="375" customFormat="1">
      <c r="A8" s="800">
        <v>1</v>
      </c>
      <c r="B8" s="769">
        <v>1</v>
      </c>
      <c r="C8" s="55" t="s">
        <v>732</v>
      </c>
      <c r="D8" s="376">
        <v>80</v>
      </c>
      <c r="E8" s="377">
        <f>(2*D8)</f>
        <v>160</v>
      </c>
      <c r="F8" s="378">
        <f>(2*86)</f>
        <v>172</v>
      </c>
      <c r="G8" s="378">
        <f>F8*1.15</f>
        <v>197.79999999999998</v>
      </c>
      <c r="H8" s="967">
        <f>0.23*E8</f>
        <v>36.800000000000004</v>
      </c>
      <c r="I8" s="968">
        <f>(0.5*(E8*0.23*1.1))</f>
        <v>20.240000000000006</v>
      </c>
      <c r="J8" s="968">
        <f>(2*14.45)</f>
        <v>28.9</v>
      </c>
      <c r="K8" s="376">
        <v>78</v>
      </c>
      <c r="L8" s="376">
        <v>70</v>
      </c>
      <c r="M8" s="376">
        <f>(2*L8)+(2*71)</f>
        <v>282</v>
      </c>
      <c r="N8" s="26">
        <f>(2*26)</f>
        <v>52</v>
      </c>
      <c r="O8" s="857" t="s">
        <v>82</v>
      </c>
      <c r="P8" s="1001" t="s">
        <v>780</v>
      </c>
      <c r="Q8" s="26">
        <f>H8</f>
        <v>36.800000000000004</v>
      </c>
      <c r="R8" s="26">
        <f>N8</f>
        <v>52</v>
      </c>
      <c r="S8" s="25">
        <f>2*J8</f>
        <v>57.8</v>
      </c>
      <c r="T8" s="377">
        <f>M8-G8</f>
        <v>84.200000000000017</v>
      </c>
      <c r="U8" s="12"/>
      <c r="V8" s="12"/>
      <c r="W8" s="12"/>
      <c r="X8" s="12"/>
      <c r="Y8" s="12"/>
      <c r="Z8" s="12"/>
      <c r="AC8" s="974">
        <f>B8</f>
        <v>1</v>
      </c>
    </row>
    <row r="9" spans="1:29">
      <c r="A9" s="800">
        <f>A8+1</f>
        <v>2</v>
      </c>
      <c r="B9" s="769">
        <f>B8+1</f>
        <v>2</v>
      </c>
      <c r="C9" s="37" t="s">
        <v>733</v>
      </c>
      <c r="D9" s="376">
        <v>110</v>
      </c>
      <c r="E9" s="377">
        <f>(2*D9)</f>
        <v>220</v>
      </c>
      <c r="F9" s="376">
        <f>(2*102)</f>
        <v>204</v>
      </c>
      <c r="G9" s="378">
        <f>F9*1.15</f>
        <v>234.6</v>
      </c>
      <c r="H9" s="967">
        <f>0.23*E9</f>
        <v>50.6</v>
      </c>
      <c r="I9" s="968">
        <f>(0.5*(E9*0.23*1.1))</f>
        <v>27.830000000000002</v>
      </c>
      <c r="J9" s="968">
        <f>(2*24)</f>
        <v>48</v>
      </c>
      <c r="K9" s="376">
        <f>(306-171)</f>
        <v>135</v>
      </c>
      <c r="L9" s="376">
        <f>183-102</f>
        <v>81</v>
      </c>
      <c r="M9" s="376">
        <f>(2*L9)+(2*71)</f>
        <v>304</v>
      </c>
      <c r="N9" s="26">
        <f>(2*64)</f>
        <v>128</v>
      </c>
      <c r="O9" s="857" t="s">
        <v>82</v>
      </c>
      <c r="P9" s="37" t="s">
        <v>734</v>
      </c>
      <c r="Q9" s="26">
        <f>H9</f>
        <v>50.6</v>
      </c>
      <c r="R9" s="26">
        <f>N9</f>
        <v>128</v>
      </c>
      <c r="S9" s="25">
        <f>J9</f>
        <v>48</v>
      </c>
      <c r="T9" s="377">
        <f>M9-G9</f>
        <v>69.400000000000006</v>
      </c>
      <c r="AC9" s="974">
        <f t="shared" ref="AC9:AC10" si="1">B9</f>
        <v>2</v>
      </c>
    </row>
    <row r="10" spans="1:29">
      <c r="A10" s="800">
        <f>A9+1</f>
        <v>3</v>
      </c>
      <c r="B10" s="769">
        <f>B9+1</f>
        <v>3</v>
      </c>
      <c r="C10" s="37" t="s">
        <v>735</v>
      </c>
      <c r="D10" s="376">
        <v>164</v>
      </c>
      <c r="E10" s="377">
        <f>(2*D10)</f>
        <v>328</v>
      </c>
      <c r="F10" s="376">
        <f>2*140</f>
        <v>280</v>
      </c>
      <c r="G10" s="378">
        <f>F10*1.15</f>
        <v>322</v>
      </c>
      <c r="H10" s="967">
        <f>0.23*E10</f>
        <v>75.44</v>
      </c>
      <c r="I10" s="968">
        <f>(0.5*(E10*0.23*1.1))</f>
        <v>41.492000000000004</v>
      </c>
      <c r="J10" s="968">
        <f>(2*26)</f>
        <v>52</v>
      </c>
      <c r="K10" s="376">
        <f>K9+31</f>
        <v>166</v>
      </c>
      <c r="L10" s="376">
        <f>L9+31+15</f>
        <v>127</v>
      </c>
      <c r="M10" s="376">
        <f>(2*L10)+(2*71)</f>
        <v>396</v>
      </c>
      <c r="N10" s="26">
        <f>(2*64)+1</f>
        <v>129</v>
      </c>
      <c r="O10" s="857"/>
      <c r="P10" s="37" t="s">
        <v>736</v>
      </c>
      <c r="Q10" s="26">
        <f>H10</f>
        <v>75.44</v>
      </c>
      <c r="R10" s="26">
        <f>N10</f>
        <v>129</v>
      </c>
      <c r="S10" s="25">
        <f>J10</f>
        <v>52</v>
      </c>
      <c r="T10" s="377">
        <f>M10-G10</f>
        <v>74</v>
      </c>
      <c r="AC10" s="974">
        <f t="shared" si="1"/>
        <v>3</v>
      </c>
    </row>
    <row r="11" spans="1:29" ht="15" customHeight="1">
      <c r="A11" s="801"/>
      <c r="C11" s="1350" t="s">
        <v>796</v>
      </c>
      <c r="D11" s="1386" t="s">
        <v>1205</v>
      </c>
      <c r="E11" s="1386"/>
      <c r="F11" s="1388" t="s">
        <v>1198</v>
      </c>
      <c r="G11" s="1346" t="s">
        <v>1199</v>
      </c>
      <c r="H11" s="1372" t="s">
        <v>797</v>
      </c>
      <c r="I11" s="1391"/>
      <c r="J11" s="1364" t="s">
        <v>1200</v>
      </c>
      <c r="K11" s="1362" t="s">
        <v>1201</v>
      </c>
      <c r="L11" s="1352" t="s">
        <v>798</v>
      </c>
      <c r="M11" s="1348" t="s">
        <v>1202</v>
      </c>
      <c r="N11" s="1348" t="s">
        <v>1203</v>
      </c>
      <c r="P11" s="605"/>
    </row>
    <row r="12" spans="1:29" ht="15" customHeight="1">
      <c r="A12" s="801"/>
      <c r="C12" s="1350"/>
      <c r="D12" s="1386"/>
      <c r="E12" s="1386"/>
      <c r="F12" s="1365"/>
      <c r="G12" s="1347"/>
      <c r="H12" s="1363"/>
      <c r="I12" s="1392"/>
      <c r="J12" s="1365"/>
      <c r="K12" s="1363"/>
      <c r="L12" s="1352"/>
      <c r="M12" s="1348"/>
      <c r="N12" s="1348"/>
      <c r="P12" s="606"/>
      <c r="T12" s="508" t="s">
        <v>82</v>
      </c>
    </row>
    <row r="13" spans="1:29" ht="15" customHeight="1">
      <c r="A13" s="801"/>
      <c r="C13" s="1350"/>
      <c r="D13" s="1386"/>
      <c r="E13" s="1386"/>
      <c r="F13" s="1365"/>
      <c r="G13" s="1347"/>
      <c r="H13" s="1363"/>
      <c r="I13" s="1392"/>
      <c r="J13" s="1365"/>
      <c r="K13" s="1363"/>
      <c r="L13" s="1352"/>
      <c r="M13" s="1348"/>
      <c r="N13" s="1348"/>
      <c r="P13" s="606"/>
    </row>
    <row r="14" spans="1:29" ht="14" customHeight="1">
      <c r="A14" s="801"/>
      <c r="C14" s="1350"/>
      <c r="D14" s="1386"/>
      <c r="E14" s="1386"/>
      <c r="F14" s="1365"/>
      <c r="G14" s="1347"/>
      <c r="H14" s="1363"/>
      <c r="I14" s="1392"/>
      <c r="J14" s="1365"/>
      <c r="K14" s="1363"/>
      <c r="L14" s="1352"/>
      <c r="M14" s="1348"/>
      <c r="N14" s="1348"/>
      <c r="P14" s="606"/>
    </row>
    <row r="15" spans="1:29" ht="15" customHeight="1">
      <c r="A15" s="801"/>
      <c r="C15" s="1350"/>
      <c r="D15" s="1385"/>
      <c r="E15" s="1385"/>
      <c r="F15" s="1365"/>
      <c r="G15" s="1347"/>
      <c r="H15" s="1363"/>
      <c r="I15" s="1392"/>
      <c r="J15" s="1365"/>
      <c r="K15" s="1363"/>
      <c r="L15" s="1352"/>
      <c r="M15" s="1348"/>
      <c r="N15" s="1348"/>
      <c r="P15" s="606"/>
    </row>
    <row r="16" spans="1:29" ht="15" customHeight="1">
      <c r="A16" s="801"/>
      <c r="C16" s="1350"/>
      <c r="D16" s="1385"/>
      <c r="E16" s="1385"/>
      <c r="F16" s="1365"/>
      <c r="G16" s="1347"/>
      <c r="H16" s="1363"/>
      <c r="I16" s="1392"/>
      <c r="J16" s="1365"/>
      <c r="K16" s="1363"/>
      <c r="L16" s="1352"/>
      <c r="M16" s="1348"/>
      <c r="N16" s="1348"/>
      <c r="P16" s="606"/>
    </row>
    <row r="17" spans="1:29" ht="41.25" customHeight="1">
      <c r="A17" s="801"/>
      <c r="C17" s="1350"/>
      <c r="D17" s="1385"/>
      <c r="E17" s="1385"/>
      <c r="F17" s="1365"/>
      <c r="G17" s="1347"/>
      <c r="H17" s="1363"/>
      <c r="I17" s="1392"/>
      <c r="J17" s="1365"/>
      <c r="K17" s="1363"/>
      <c r="L17" s="1352"/>
      <c r="M17" s="1348"/>
      <c r="N17" s="1348"/>
      <c r="P17" s="606"/>
    </row>
    <row r="18" spans="1:29" ht="15" customHeight="1">
      <c r="A18" s="801"/>
      <c r="C18" s="1351"/>
      <c r="D18" s="1385"/>
      <c r="E18" s="1385"/>
      <c r="F18" s="1365"/>
      <c r="G18" s="1347"/>
      <c r="H18" s="1363"/>
      <c r="I18" s="1392"/>
      <c r="J18" s="1365"/>
      <c r="K18" s="1363"/>
      <c r="L18" s="1352"/>
      <c r="M18" s="1348"/>
      <c r="N18" s="1348"/>
      <c r="P18" s="285"/>
      <c r="U18" s="508" t="s">
        <v>82</v>
      </c>
    </row>
    <row r="19" spans="1:29" ht="15" customHeight="1">
      <c r="A19" s="801"/>
      <c r="C19" s="1351"/>
      <c r="D19" s="1385"/>
      <c r="E19" s="1385"/>
      <c r="F19" s="1365"/>
      <c r="G19" s="1347"/>
      <c r="H19" s="1363"/>
      <c r="I19" s="1392"/>
      <c r="J19" s="1365"/>
      <c r="K19" s="1363"/>
      <c r="L19" s="1352"/>
      <c r="M19" s="1348"/>
      <c r="N19" s="1348"/>
    </row>
    <row r="20" spans="1:29">
      <c r="A20" s="801"/>
      <c r="C20" s="1351"/>
      <c r="D20" s="1385"/>
      <c r="E20" s="1385"/>
      <c r="F20" s="1365"/>
      <c r="G20" s="1347"/>
      <c r="H20" s="1363"/>
      <c r="I20" s="1392"/>
      <c r="J20" s="1365"/>
      <c r="K20" s="1363"/>
      <c r="L20" s="1352"/>
      <c r="M20" s="1348"/>
      <c r="N20" s="1348"/>
    </row>
    <row r="21" spans="1:29">
      <c r="A21" s="801"/>
      <c r="C21" s="1351"/>
      <c r="D21" s="1385"/>
      <c r="E21" s="1385"/>
      <c r="F21" s="1365"/>
      <c r="G21" s="1347"/>
      <c r="H21" s="1363"/>
      <c r="I21" s="1392"/>
      <c r="J21" s="1365"/>
      <c r="K21" s="1363"/>
      <c r="L21" s="1352"/>
      <c r="M21" s="1348"/>
      <c r="N21" s="1348"/>
      <c r="W21" s="12" t="s">
        <v>82</v>
      </c>
    </row>
    <row r="22" spans="1:29">
      <c r="A22" s="801"/>
      <c r="C22" s="1351"/>
      <c r="D22" s="1385"/>
      <c r="E22" s="1385"/>
      <c r="G22" s="1347"/>
      <c r="H22" s="1363"/>
      <c r="I22" s="1365"/>
      <c r="J22" s="1365"/>
      <c r="L22" s="1352"/>
      <c r="M22" s="1348"/>
      <c r="N22" s="1348"/>
    </row>
    <row r="23" spans="1:29">
      <c r="A23" s="801"/>
      <c r="C23" s="1351"/>
      <c r="D23" s="1385"/>
      <c r="E23" s="1385"/>
      <c r="G23" s="1347"/>
      <c r="H23" s="1363"/>
      <c r="I23" s="1365"/>
      <c r="J23" s="1365"/>
      <c r="L23" s="1352"/>
      <c r="M23" s="1348"/>
      <c r="N23" s="1348"/>
    </row>
    <row r="24" spans="1:29">
      <c r="A24" s="801"/>
      <c r="C24" s="1351"/>
      <c r="D24" s="1385"/>
      <c r="E24" s="1385"/>
      <c r="G24" s="1347"/>
      <c r="H24" s="1363"/>
      <c r="I24" s="1365"/>
      <c r="J24" s="1365"/>
      <c r="L24" s="1352"/>
      <c r="M24" s="1348"/>
      <c r="N24" s="1348"/>
    </row>
    <row r="25" spans="1:29">
      <c r="A25" s="801"/>
      <c r="C25" s="1351"/>
      <c r="D25" s="1385"/>
      <c r="E25" s="1385"/>
      <c r="G25" s="1347"/>
      <c r="H25" s="1363"/>
      <c r="I25" s="1365"/>
      <c r="J25" s="1365"/>
      <c r="L25" s="1352"/>
      <c r="M25" s="1348"/>
      <c r="N25" s="1348"/>
    </row>
    <row r="26" spans="1:29">
      <c r="A26" s="801"/>
      <c r="D26" s="1385"/>
      <c r="E26" s="1385"/>
      <c r="G26" s="1347"/>
      <c r="H26" s="1363"/>
      <c r="I26" s="1365"/>
      <c r="J26" s="1365"/>
      <c r="L26" s="1352"/>
      <c r="M26" s="1348"/>
      <c r="N26" s="1348"/>
    </row>
    <row r="27" spans="1:29" ht="39" customHeight="1">
      <c r="A27" s="801"/>
      <c r="D27" s="1385"/>
      <c r="E27" s="1385"/>
      <c r="G27" s="1347"/>
      <c r="H27" s="1363"/>
      <c r="I27" s="1365"/>
      <c r="J27" s="1365"/>
      <c r="L27" s="1352"/>
      <c r="M27" s="1348"/>
      <c r="N27" s="1348"/>
    </row>
    <row r="28" spans="1:29">
      <c r="A28" s="801"/>
      <c r="J28" s="15"/>
    </row>
    <row r="29" spans="1:29">
      <c r="A29" s="801"/>
      <c r="J29" s="15"/>
    </row>
    <row r="30" spans="1:29" s="242" customFormat="1">
      <c r="A30" s="802"/>
      <c r="B30" s="269" t="s">
        <v>30</v>
      </c>
      <c r="C30" s="1405" t="s">
        <v>737</v>
      </c>
      <c r="D30" s="1406"/>
      <c r="E30" s="1406"/>
      <c r="F30" s="1406"/>
      <c r="G30" s="1406"/>
      <c r="H30" s="1406"/>
      <c r="I30" s="1406"/>
      <c r="J30" s="1406"/>
      <c r="K30" s="1406"/>
      <c r="L30" s="1406"/>
      <c r="M30" s="1406"/>
      <c r="N30" s="1406"/>
      <c r="O30" s="1406"/>
      <c r="P30" s="1406"/>
      <c r="Q30" s="1406"/>
      <c r="R30" s="1406"/>
      <c r="S30" s="1406"/>
      <c r="T30" s="1407"/>
      <c r="AC30" s="973"/>
    </row>
    <row r="31" spans="1:29" s="242" customFormat="1" ht="29" customHeight="1">
      <c r="A31" s="802"/>
      <c r="B31" s="269"/>
      <c r="C31" s="503" t="s">
        <v>116</v>
      </c>
      <c r="D31" s="1393" t="s">
        <v>39</v>
      </c>
      <c r="E31" s="1394"/>
      <c r="F31" s="1394"/>
      <c r="G31" s="1394"/>
      <c r="H31" s="1395"/>
      <c r="I31" s="1396"/>
      <c r="J31" s="391"/>
      <c r="K31" s="391"/>
      <c r="L31" s="391"/>
      <c r="M31" s="391"/>
      <c r="N31" s="391"/>
      <c r="O31" s="858"/>
      <c r="P31" s="391"/>
      <c r="Q31" s="391"/>
      <c r="R31" s="391"/>
      <c r="S31" s="391"/>
      <c r="AC31" s="980" t="s">
        <v>783</v>
      </c>
    </row>
    <row r="32" spans="1:29" s="242" customFormat="1">
      <c r="A32" s="802"/>
      <c r="B32" s="264"/>
      <c r="C32" s="505"/>
      <c r="D32" s="243">
        <v>1</v>
      </c>
      <c r="E32" s="243">
        <f t="shared" ref="E32:N32" si="2">D32+1</f>
        <v>2</v>
      </c>
      <c r="F32" s="243">
        <f t="shared" si="2"/>
        <v>3</v>
      </c>
      <c r="G32" s="243">
        <f t="shared" si="2"/>
        <v>4</v>
      </c>
      <c r="H32" s="243">
        <f t="shared" si="2"/>
        <v>5</v>
      </c>
      <c r="I32" s="243">
        <f t="shared" si="2"/>
        <v>6</v>
      </c>
      <c r="J32" s="243">
        <f t="shared" si="2"/>
        <v>7</v>
      </c>
      <c r="K32" s="243">
        <f t="shared" si="2"/>
        <v>8</v>
      </c>
      <c r="L32" s="243">
        <f t="shared" si="2"/>
        <v>9</v>
      </c>
      <c r="M32" s="243">
        <f t="shared" si="2"/>
        <v>10</v>
      </c>
      <c r="N32" s="243">
        <f t="shared" si="2"/>
        <v>11</v>
      </c>
      <c r="O32" s="859"/>
      <c r="AC32" s="981" t="s">
        <v>784</v>
      </c>
    </row>
    <row r="33" spans="1:30" ht="15" customHeight="1">
      <c r="A33" s="801"/>
      <c r="B33" s="268"/>
      <c r="C33" s="1355" t="s">
        <v>1204</v>
      </c>
      <c r="D33" s="1353" t="s">
        <v>726</v>
      </c>
      <c r="E33" s="1353" t="s">
        <v>727</v>
      </c>
      <c r="F33" s="1353" t="s">
        <v>800</v>
      </c>
      <c r="G33" s="1353" t="s">
        <v>801</v>
      </c>
      <c r="H33" s="1357" t="s">
        <v>409</v>
      </c>
      <c r="I33" s="1357" t="s">
        <v>728</v>
      </c>
      <c r="J33" s="1357" t="s">
        <v>729</v>
      </c>
      <c r="K33" s="1349" t="s">
        <v>802</v>
      </c>
      <c r="L33" s="1349" t="s">
        <v>803</v>
      </c>
      <c r="M33" s="1349" t="s">
        <v>804</v>
      </c>
      <c r="N33" s="1357" t="s">
        <v>805</v>
      </c>
      <c r="O33" s="860"/>
      <c r="P33" s="1404" t="s">
        <v>5</v>
      </c>
      <c r="Q33" s="1357" t="s">
        <v>738</v>
      </c>
      <c r="R33" s="1357" t="s">
        <v>739</v>
      </c>
      <c r="S33" s="1357" t="s">
        <v>740</v>
      </c>
      <c r="T33" s="1400" t="s">
        <v>745</v>
      </c>
      <c r="AC33" s="982" t="s">
        <v>785</v>
      </c>
    </row>
    <row r="34" spans="1:30" ht="124" customHeight="1">
      <c r="A34" s="801"/>
      <c r="C34" s="1355"/>
      <c r="D34" s="1353"/>
      <c r="E34" s="1353"/>
      <c r="F34" s="1353"/>
      <c r="G34" s="1354"/>
      <c r="H34" s="1359"/>
      <c r="I34" s="1358"/>
      <c r="J34" s="1357"/>
      <c r="K34" s="1349"/>
      <c r="L34" s="1349"/>
      <c r="M34" s="1349"/>
      <c r="N34" s="1357"/>
      <c r="O34" s="860"/>
      <c r="P34" s="1404"/>
      <c r="Q34" s="1359"/>
      <c r="R34" s="1371"/>
      <c r="S34" s="1371"/>
      <c r="T34" s="1400"/>
      <c r="AC34" s="975" t="s">
        <v>782</v>
      </c>
    </row>
    <row r="35" spans="1:30" ht="15" customHeight="1">
      <c r="A35" s="800">
        <f>A10+1</f>
        <v>4</v>
      </c>
      <c r="B35" s="769">
        <f>B10+1</f>
        <v>4</v>
      </c>
      <c r="C35" s="247" t="s">
        <v>18</v>
      </c>
      <c r="D35" s="1164">
        <v>32</v>
      </c>
      <c r="E35" s="1164">
        <f>2*D35</f>
        <v>64</v>
      </c>
      <c r="F35" s="1164">
        <f>2*37</f>
        <v>74</v>
      </c>
      <c r="G35" s="1235">
        <f>F35*1.15</f>
        <v>85.1</v>
      </c>
      <c r="H35" s="969">
        <f t="shared" ref="H35:H39" si="3">E35*0.23</f>
        <v>14.72</v>
      </c>
      <c r="I35" s="244">
        <f>0.5*(0.23*E35*1.1)</f>
        <v>8.0960000000000019</v>
      </c>
      <c r="J35" s="244">
        <f>(2*7.75)+23</f>
        <v>38.5</v>
      </c>
      <c r="K35" s="1164">
        <v>30</v>
      </c>
      <c r="L35" s="1276">
        <f>70-44</f>
        <v>26</v>
      </c>
      <c r="M35" s="1164">
        <f>(2*71)+2*L35</f>
        <v>194</v>
      </c>
      <c r="N35" s="244">
        <f>(2*20)+23</f>
        <v>63</v>
      </c>
      <c r="P35" s="247" t="s">
        <v>8</v>
      </c>
      <c r="Q35" s="245">
        <f>H35</f>
        <v>14.72</v>
      </c>
      <c r="R35" s="245">
        <f>N35</f>
        <v>63</v>
      </c>
      <c r="S35" s="245">
        <f>J35</f>
        <v>38.5</v>
      </c>
      <c r="T35" s="330">
        <f>M35-G35</f>
        <v>108.9</v>
      </c>
      <c r="AC35" s="963">
        <f>B35</f>
        <v>4</v>
      </c>
    </row>
    <row r="36" spans="1:30" ht="15" customHeight="1">
      <c r="A36" s="800">
        <f>A35+1</f>
        <v>5</v>
      </c>
      <c r="B36" s="769">
        <f>B35+1</f>
        <v>5</v>
      </c>
      <c r="C36" s="970" t="s">
        <v>141</v>
      </c>
      <c r="D36" s="1164">
        <v>33</v>
      </c>
      <c r="E36" s="1164">
        <f>2*D36</f>
        <v>66</v>
      </c>
      <c r="F36" s="1164">
        <f>2*35</f>
        <v>70</v>
      </c>
      <c r="G36" s="1235">
        <f>F36*1.15</f>
        <v>80.5</v>
      </c>
      <c r="H36" s="969">
        <f t="shared" si="3"/>
        <v>15.180000000000001</v>
      </c>
      <c r="I36" s="244">
        <f t="shared" ref="I36:I39" si="4">0.5*(0.23*E36*1.1)</f>
        <v>8.349000000000002</v>
      </c>
      <c r="J36" s="244">
        <f>(2*11)+23</f>
        <v>45</v>
      </c>
      <c r="K36" s="1164">
        <v>33</v>
      </c>
      <c r="L36" s="1276">
        <f>(240-200)</f>
        <v>40</v>
      </c>
      <c r="M36" s="1164">
        <f>(2*71)+2*L36</f>
        <v>222</v>
      </c>
      <c r="N36" s="244">
        <v>1</v>
      </c>
      <c r="P36" s="970" t="s">
        <v>144</v>
      </c>
      <c r="Q36" s="245">
        <f>H36</f>
        <v>15.180000000000001</v>
      </c>
      <c r="R36" s="245">
        <f t="shared" ref="R36:R39" si="5">N36</f>
        <v>1</v>
      </c>
      <c r="S36" s="245">
        <f>J36</f>
        <v>45</v>
      </c>
      <c r="T36" s="330">
        <f>M36-G36</f>
        <v>141.5</v>
      </c>
      <c r="AC36" s="963">
        <f t="shared" ref="AC36:AC39" si="6">B36</f>
        <v>5</v>
      </c>
    </row>
    <row r="37" spans="1:30" ht="15" customHeight="1">
      <c r="A37" s="800">
        <f t="shared" ref="A37:B39" si="7">A36+1</f>
        <v>6</v>
      </c>
      <c r="B37" s="769">
        <f t="shared" si="7"/>
        <v>6</v>
      </c>
      <c r="C37" s="749" t="s">
        <v>140</v>
      </c>
      <c r="D37" s="1164">
        <v>33</v>
      </c>
      <c r="E37" s="1164">
        <f>2*D37</f>
        <v>66</v>
      </c>
      <c r="F37" s="1164">
        <f>2*36</f>
        <v>72</v>
      </c>
      <c r="G37" s="1235">
        <f>F37*1.15</f>
        <v>82.8</v>
      </c>
      <c r="H37" s="969">
        <f t="shared" si="3"/>
        <v>15.180000000000001</v>
      </c>
      <c r="I37" s="244">
        <f t="shared" si="4"/>
        <v>8.349000000000002</v>
      </c>
      <c r="J37" s="244">
        <f>(2*7.75)+23</f>
        <v>38.5</v>
      </c>
      <c r="K37" s="1164">
        <v>28</v>
      </c>
      <c r="L37" s="1276">
        <f>125-102</f>
        <v>23</v>
      </c>
      <c r="M37" s="1164">
        <f>(2*71)+2*L37</f>
        <v>188</v>
      </c>
      <c r="N37" s="244">
        <f>(2*40)+23</f>
        <v>103</v>
      </c>
      <c r="P37" s="749" t="s">
        <v>145</v>
      </c>
      <c r="Q37" s="245">
        <f>H37</f>
        <v>15.180000000000001</v>
      </c>
      <c r="R37" s="245">
        <f t="shared" si="5"/>
        <v>103</v>
      </c>
      <c r="S37" s="245">
        <f>J37</f>
        <v>38.5</v>
      </c>
      <c r="T37" s="330">
        <f>M37-G37</f>
        <v>105.2</v>
      </c>
      <c r="AC37" s="963">
        <f t="shared" si="6"/>
        <v>6</v>
      </c>
    </row>
    <row r="38" spans="1:30" ht="15" customHeight="1">
      <c r="A38" s="800">
        <f t="shared" si="7"/>
        <v>7</v>
      </c>
      <c r="B38" s="769">
        <f t="shared" si="7"/>
        <v>7</v>
      </c>
      <c r="C38" s="247" t="s">
        <v>19</v>
      </c>
      <c r="D38" s="1164">
        <v>33</v>
      </c>
      <c r="E38" s="1164">
        <f>2*D38</f>
        <v>66</v>
      </c>
      <c r="F38" s="1164">
        <f>2*41</f>
        <v>82</v>
      </c>
      <c r="G38" s="1235">
        <f>F38*1.15</f>
        <v>94.3</v>
      </c>
      <c r="H38" s="969">
        <f t="shared" si="3"/>
        <v>15.180000000000001</v>
      </c>
      <c r="I38" s="244">
        <f t="shared" si="4"/>
        <v>8.349000000000002</v>
      </c>
      <c r="J38" s="244">
        <f>(2*5)+23</f>
        <v>33</v>
      </c>
      <c r="K38" s="1164">
        <v>33</v>
      </c>
      <c r="L38" s="1164">
        <f>147-125</f>
        <v>22</v>
      </c>
      <c r="M38" s="1164">
        <f>(2*71)+2*L38</f>
        <v>186</v>
      </c>
      <c r="N38" s="244">
        <f>(2*42)+23</f>
        <v>107</v>
      </c>
      <c r="P38" s="247" t="s">
        <v>9</v>
      </c>
      <c r="Q38" s="245">
        <f>H38</f>
        <v>15.180000000000001</v>
      </c>
      <c r="R38" s="245">
        <f t="shared" si="5"/>
        <v>107</v>
      </c>
      <c r="S38" s="245">
        <f>J38</f>
        <v>33</v>
      </c>
      <c r="T38" s="330">
        <f>M38-G38</f>
        <v>91.7</v>
      </c>
      <c r="AC38" s="963">
        <f t="shared" si="6"/>
        <v>7</v>
      </c>
    </row>
    <row r="39" spans="1:30" ht="15" customHeight="1">
      <c r="A39" s="800">
        <f t="shared" si="7"/>
        <v>8</v>
      </c>
      <c r="B39" s="769">
        <f t="shared" si="7"/>
        <v>8</v>
      </c>
      <c r="C39" s="247" t="s">
        <v>20</v>
      </c>
      <c r="D39" s="1164">
        <v>48</v>
      </c>
      <c r="E39" s="1164">
        <f>2*D39</f>
        <v>96</v>
      </c>
      <c r="F39" s="1164">
        <f>2*62</f>
        <v>124</v>
      </c>
      <c r="G39" s="1235">
        <f>F39*1.15</f>
        <v>142.6</v>
      </c>
      <c r="H39" s="969">
        <f t="shared" si="3"/>
        <v>22.080000000000002</v>
      </c>
      <c r="I39" s="244">
        <f t="shared" si="4"/>
        <v>12.144000000000002</v>
      </c>
      <c r="J39" s="244">
        <f>(2*9.75)+23</f>
        <v>42.5</v>
      </c>
      <c r="K39" s="1164">
        <v>48</v>
      </c>
      <c r="L39" s="1164">
        <v>44</v>
      </c>
      <c r="M39" s="1164">
        <f>(2*71)+2*L39</f>
        <v>230</v>
      </c>
      <c r="N39" s="244">
        <f>(2*24)+23</f>
        <v>71</v>
      </c>
      <c r="P39" s="749" t="s">
        <v>781</v>
      </c>
      <c r="Q39" s="245">
        <f>H39</f>
        <v>22.080000000000002</v>
      </c>
      <c r="R39" s="245">
        <f t="shared" si="5"/>
        <v>71</v>
      </c>
      <c r="S39" s="245">
        <f>J39</f>
        <v>42.5</v>
      </c>
      <c r="T39" s="330">
        <f>M39-G39</f>
        <v>87.4</v>
      </c>
      <c r="AC39" s="963">
        <f t="shared" si="6"/>
        <v>8</v>
      </c>
    </row>
    <row r="40" spans="1:30" ht="15" customHeight="1">
      <c r="A40" s="801"/>
      <c r="B40" s="124"/>
      <c r="C40" s="247"/>
      <c r="D40" s="1386" t="s">
        <v>1205</v>
      </c>
      <c r="E40" s="1386"/>
      <c r="F40" s="1388" t="s">
        <v>1198</v>
      </c>
      <c r="G40" s="1346" t="s">
        <v>1199</v>
      </c>
      <c r="H40" s="1372" t="s">
        <v>797</v>
      </c>
      <c r="I40" s="1387"/>
      <c r="J40" s="1373" t="s">
        <v>806</v>
      </c>
      <c r="K40" s="1382" t="s">
        <v>807</v>
      </c>
      <c r="L40" s="1375" t="s">
        <v>808</v>
      </c>
      <c r="M40" s="1348" t="s">
        <v>1202</v>
      </c>
      <c r="N40" s="1348" t="s">
        <v>1203</v>
      </c>
      <c r="P40" s="247"/>
      <c r="Q40" s="245"/>
      <c r="R40" s="245"/>
      <c r="S40" s="245"/>
      <c r="T40" s="330"/>
    </row>
    <row r="41" spans="1:30" ht="15" customHeight="1">
      <c r="A41" s="801"/>
      <c r="B41" s="124"/>
      <c r="C41" s="247"/>
      <c r="D41" s="1386"/>
      <c r="E41" s="1386"/>
      <c r="F41" s="1365"/>
      <c r="G41" s="1347"/>
      <c r="H41" s="1363"/>
      <c r="I41" s="1387"/>
      <c r="J41" s="1373"/>
      <c r="K41" s="1383"/>
      <c r="L41" s="1375"/>
      <c r="M41" s="1348"/>
      <c r="N41" s="1348"/>
      <c r="P41" s="247"/>
      <c r="Q41" s="245"/>
      <c r="R41" s="245"/>
      <c r="S41" s="245"/>
      <c r="T41" s="377" t="s">
        <v>82</v>
      </c>
    </row>
    <row r="42" spans="1:30" ht="15" customHeight="1">
      <c r="A42" s="801"/>
      <c r="B42" s="124"/>
      <c r="C42" s="247"/>
      <c r="D42" s="1386"/>
      <c r="E42" s="1386"/>
      <c r="F42" s="1365"/>
      <c r="G42" s="1347"/>
      <c r="H42" s="1363"/>
      <c r="I42" s="1387"/>
      <c r="J42" s="1373"/>
      <c r="K42" s="1383"/>
      <c r="L42" s="1375"/>
      <c r="M42" s="1348"/>
      <c r="N42" s="1348"/>
      <c r="P42" s="247"/>
      <c r="Q42" s="245"/>
      <c r="R42" s="245"/>
      <c r="S42" s="245"/>
      <c r="T42" s="330"/>
    </row>
    <row r="43" spans="1:30" ht="15" customHeight="1">
      <c r="A43" s="801"/>
      <c r="B43" s="124"/>
      <c r="C43" s="247"/>
      <c r="D43" s="1386"/>
      <c r="E43" s="1386"/>
      <c r="F43" s="1365"/>
      <c r="G43" s="1347"/>
      <c r="H43" s="1363"/>
      <c r="I43" s="1387"/>
      <c r="J43" s="1373"/>
      <c r="K43" s="1383"/>
      <c r="L43" s="1375"/>
      <c r="M43" s="1348"/>
      <c r="N43" s="1348"/>
      <c r="P43" s="247"/>
      <c r="Q43" s="245"/>
      <c r="R43" s="245"/>
      <c r="S43" s="245"/>
      <c r="T43" s="330"/>
    </row>
    <row r="44" spans="1:30">
      <c r="A44" s="801"/>
      <c r="D44" s="1385"/>
      <c r="E44" s="1385"/>
      <c r="F44" s="1365"/>
      <c r="G44" s="1347"/>
      <c r="H44" s="1363"/>
      <c r="I44" s="1387"/>
      <c r="J44" s="1373"/>
      <c r="K44" s="1383"/>
      <c r="L44" s="1375"/>
      <c r="M44" s="1348"/>
      <c r="N44" s="1348"/>
    </row>
    <row r="45" spans="1:30">
      <c r="A45" s="801"/>
      <c r="D45" s="1385"/>
      <c r="E45" s="1385"/>
      <c r="F45" s="1365"/>
      <c r="G45" s="1347"/>
      <c r="H45" s="1363"/>
      <c r="I45" s="1387"/>
      <c r="J45" s="1373"/>
      <c r="K45" s="1383"/>
      <c r="L45" s="1375"/>
      <c r="M45" s="1348"/>
      <c r="N45" s="1348"/>
    </row>
    <row r="46" spans="1:30">
      <c r="A46" s="801"/>
      <c r="D46" s="1385"/>
      <c r="E46" s="1385"/>
      <c r="F46" s="1365"/>
      <c r="G46" s="1347"/>
      <c r="H46" s="1363"/>
      <c r="I46" s="1387"/>
      <c r="J46" s="995"/>
      <c r="K46" s="1383"/>
      <c r="L46" s="1375"/>
      <c r="M46" s="1348"/>
      <c r="N46" s="1348"/>
    </row>
    <row r="47" spans="1:30">
      <c r="A47" s="801"/>
      <c r="D47" s="1385"/>
      <c r="E47" s="1385"/>
      <c r="F47" s="1365"/>
      <c r="G47" s="1347"/>
      <c r="H47" s="1363"/>
      <c r="I47" s="1387"/>
      <c r="J47" s="995"/>
      <c r="K47" s="1383"/>
      <c r="L47" s="1375"/>
      <c r="M47" s="1348"/>
      <c r="N47" s="1348"/>
      <c r="AD47" s="838"/>
    </row>
    <row r="48" spans="1:30">
      <c r="A48" s="801"/>
      <c r="D48" s="1385"/>
      <c r="E48" s="1385"/>
      <c r="F48" s="1365"/>
      <c r="G48" s="1347"/>
      <c r="H48" s="1363"/>
      <c r="I48" s="1387"/>
      <c r="J48" s="1365"/>
      <c r="K48" s="1383"/>
      <c r="L48" s="1375"/>
      <c r="M48" s="1348"/>
      <c r="N48" s="1348"/>
    </row>
    <row r="49" spans="1:29">
      <c r="A49" s="801"/>
      <c r="D49" s="1385"/>
      <c r="E49" s="1385"/>
      <c r="F49" s="1365"/>
      <c r="G49" s="1347"/>
      <c r="H49" s="1363"/>
      <c r="I49" s="1387"/>
      <c r="J49" s="1365"/>
      <c r="K49" s="1383"/>
      <c r="L49" s="1375"/>
      <c r="M49" s="1348"/>
      <c r="N49" s="1348"/>
    </row>
    <row r="50" spans="1:29">
      <c r="A50" s="801"/>
      <c r="D50" s="1385"/>
      <c r="E50" s="1385"/>
      <c r="F50" s="1365"/>
      <c r="G50" s="1347"/>
      <c r="H50" s="1363"/>
      <c r="I50" s="1387"/>
      <c r="J50" s="1365"/>
      <c r="K50" s="1383"/>
      <c r="L50" s="1375"/>
      <c r="M50" s="1348"/>
      <c r="N50" s="1348"/>
    </row>
    <row r="51" spans="1:29">
      <c r="A51" s="801"/>
      <c r="D51" s="1385"/>
      <c r="E51" s="1385"/>
      <c r="G51" s="1347"/>
      <c r="H51" s="1363"/>
      <c r="I51" s="1387"/>
      <c r="J51" s="1365"/>
      <c r="K51" s="1383"/>
      <c r="L51" s="1375"/>
      <c r="M51" s="1348"/>
      <c r="N51" s="1348"/>
    </row>
    <row r="52" spans="1:29">
      <c r="A52" s="801"/>
      <c r="D52" s="1385"/>
      <c r="E52" s="1385"/>
      <c r="G52" s="1347"/>
      <c r="H52" s="1363"/>
      <c r="I52" s="1387"/>
      <c r="J52" s="1365"/>
      <c r="K52" s="1383"/>
      <c r="L52" s="1375"/>
      <c r="M52" s="1348"/>
      <c r="N52" s="1348"/>
    </row>
    <row r="53" spans="1:29">
      <c r="A53" s="801"/>
      <c r="D53" s="1385"/>
      <c r="E53" s="1385"/>
      <c r="G53" s="1347"/>
      <c r="H53" s="1363"/>
      <c r="I53" s="1387"/>
      <c r="J53" s="1365"/>
      <c r="K53" s="1383"/>
      <c r="L53" s="1375"/>
      <c r="M53" s="1348"/>
      <c r="N53" s="1348"/>
    </row>
    <row r="54" spans="1:29">
      <c r="A54" s="801"/>
      <c r="D54" s="1385"/>
      <c r="E54" s="1385"/>
      <c r="G54" s="1347"/>
      <c r="H54" s="1363"/>
      <c r="I54" s="1387"/>
      <c r="J54" s="995"/>
      <c r="K54" s="996"/>
      <c r="L54" s="995"/>
      <c r="M54" s="1348"/>
      <c r="N54" s="1348"/>
    </row>
    <row r="55" spans="1:29">
      <c r="A55" s="801"/>
      <c r="D55" s="1385"/>
      <c r="E55" s="1385"/>
      <c r="G55" s="1347"/>
      <c r="H55" s="1363"/>
      <c r="I55" s="1387"/>
      <c r="J55" s="995"/>
      <c r="K55" s="996"/>
      <c r="L55" s="995"/>
      <c r="M55" s="1348"/>
      <c r="N55" s="1348"/>
    </row>
    <row r="56" spans="1:29">
      <c r="A56" s="801"/>
      <c r="D56" s="1385"/>
      <c r="E56" s="1385"/>
      <c r="G56" s="1347"/>
      <c r="H56" s="1363"/>
      <c r="I56" s="997"/>
      <c r="J56" s="995"/>
      <c r="K56" s="996"/>
      <c r="L56" s="995"/>
      <c r="M56" s="1348"/>
      <c r="N56" s="1348"/>
    </row>
    <row r="57" spans="1:29">
      <c r="A57" s="801"/>
      <c r="D57" s="601"/>
      <c r="E57" s="601"/>
      <c r="F57" s="598"/>
      <c r="G57" s="598"/>
      <c r="H57" s="602"/>
      <c r="I57" s="600"/>
      <c r="J57" s="604"/>
      <c r="K57" s="599"/>
      <c r="L57" s="598"/>
      <c r="M57" s="603"/>
      <c r="N57" s="580"/>
    </row>
    <row r="58" spans="1:29">
      <c r="A58" s="801"/>
      <c r="D58" s="594"/>
      <c r="E58" s="594"/>
      <c r="F58" s="591"/>
      <c r="G58" s="591"/>
      <c r="H58" s="595"/>
      <c r="I58" s="593"/>
      <c r="J58" s="597"/>
      <c r="K58" s="592"/>
      <c r="L58" s="591"/>
      <c r="M58" s="596"/>
      <c r="N58" s="580"/>
    </row>
    <row r="59" spans="1:29">
      <c r="A59" s="801"/>
      <c r="B59" s="270" t="s">
        <v>31</v>
      </c>
      <c r="C59" s="1405" t="s">
        <v>737</v>
      </c>
      <c r="D59" s="1406"/>
      <c r="E59" s="1406"/>
      <c r="F59" s="1406"/>
      <c r="G59" s="1406"/>
      <c r="H59" s="1406"/>
      <c r="I59" s="1406"/>
      <c r="J59" s="1406"/>
      <c r="K59" s="1406"/>
      <c r="L59" s="1406"/>
      <c r="M59" s="1406"/>
      <c r="N59" s="1406"/>
      <c r="O59" s="1406"/>
      <c r="P59" s="1406"/>
      <c r="Q59" s="1406"/>
      <c r="R59" s="1406"/>
      <c r="S59" s="1406"/>
    </row>
    <row r="60" spans="1:29" ht="33">
      <c r="A60" s="801"/>
      <c r="B60" s="270"/>
      <c r="C60" s="503" t="s">
        <v>116</v>
      </c>
      <c r="D60" s="1366" t="s">
        <v>39</v>
      </c>
      <c r="E60" s="1367"/>
      <c r="F60" s="1367"/>
      <c r="G60" s="1367"/>
      <c r="H60" s="1368"/>
      <c r="I60" s="1369"/>
      <c r="AC60" s="980" t="s">
        <v>783</v>
      </c>
    </row>
    <row r="61" spans="1:29">
      <c r="A61" s="801"/>
      <c r="C61" s="505"/>
      <c r="D61" s="243">
        <v>1</v>
      </c>
      <c r="E61" s="243">
        <f t="shared" ref="E61:N61" si="8">D61+1</f>
        <v>2</v>
      </c>
      <c r="F61" s="243">
        <f t="shared" si="8"/>
        <v>3</v>
      </c>
      <c r="G61" s="243">
        <f t="shared" si="8"/>
        <v>4</v>
      </c>
      <c r="H61" s="243">
        <f t="shared" si="8"/>
        <v>5</v>
      </c>
      <c r="I61" s="243">
        <f t="shared" si="8"/>
        <v>6</v>
      </c>
      <c r="J61" s="243">
        <f t="shared" si="8"/>
        <v>7</v>
      </c>
      <c r="K61" s="243">
        <f t="shared" si="8"/>
        <v>8</v>
      </c>
      <c r="L61" s="243">
        <f t="shared" si="8"/>
        <v>9</v>
      </c>
      <c r="M61" s="243">
        <f t="shared" si="8"/>
        <v>10</v>
      </c>
      <c r="N61" s="243">
        <f t="shared" si="8"/>
        <v>11</v>
      </c>
      <c r="AC61" s="981" t="s">
        <v>784</v>
      </c>
    </row>
    <row r="62" spans="1:29">
      <c r="A62" s="801"/>
      <c r="C62" s="1355" t="s">
        <v>1206</v>
      </c>
      <c r="D62" s="1384" t="s">
        <v>726</v>
      </c>
      <c r="E62" s="1384" t="s">
        <v>727</v>
      </c>
      <c r="F62" s="1384" t="s">
        <v>800</v>
      </c>
      <c r="G62" s="1384" t="s">
        <v>801</v>
      </c>
      <c r="H62" s="1389" t="s">
        <v>409</v>
      </c>
      <c r="I62" s="1380" t="s">
        <v>728</v>
      </c>
      <c r="J62" s="1380" t="s">
        <v>729</v>
      </c>
      <c r="K62" s="1374" t="s">
        <v>802</v>
      </c>
      <c r="L62" s="1374" t="s">
        <v>803</v>
      </c>
      <c r="M62" s="1374" t="s">
        <v>804</v>
      </c>
      <c r="N62" s="1380" t="s">
        <v>805</v>
      </c>
      <c r="P62" s="1401" t="s">
        <v>1209</v>
      </c>
      <c r="Q62" s="1402" t="s">
        <v>741</v>
      </c>
      <c r="R62" s="1398" t="s">
        <v>742</v>
      </c>
      <c r="S62" s="1398" t="s">
        <v>743</v>
      </c>
      <c r="T62" s="1397" t="s">
        <v>745</v>
      </c>
      <c r="AC62" s="982" t="s">
        <v>785</v>
      </c>
    </row>
    <row r="63" spans="1:29">
      <c r="A63" s="801"/>
      <c r="C63" s="1355"/>
      <c r="D63" s="1384"/>
      <c r="E63" s="1384"/>
      <c r="F63" s="1384"/>
      <c r="G63" s="1385"/>
      <c r="H63" s="1390"/>
      <c r="I63" s="1381"/>
      <c r="J63" s="1381"/>
      <c r="K63" s="1374"/>
      <c r="L63" s="1374"/>
      <c r="M63" s="1374"/>
      <c r="N63" s="1380"/>
      <c r="P63" s="1401"/>
      <c r="Q63" s="1403"/>
      <c r="R63" s="1399"/>
      <c r="S63" s="1399"/>
      <c r="T63" s="1365"/>
      <c r="AC63" s="1408" t="s">
        <v>779</v>
      </c>
    </row>
    <row r="64" spans="1:29">
      <c r="A64" s="801"/>
      <c r="C64" s="1355"/>
      <c r="D64" s="1354"/>
      <c r="E64" s="1385"/>
      <c r="F64" s="1385"/>
      <c r="G64" s="1385"/>
      <c r="H64" s="1390"/>
      <c r="I64" s="1381"/>
      <c r="J64" s="1365"/>
      <c r="K64" s="1363"/>
      <c r="L64" s="1363"/>
      <c r="M64" s="1363"/>
      <c r="N64" s="1365"/>
      <c r="P64" s="1401"/>
      <c r="Q64" s="1403"/>
      <c r="R64" s="1399"/>
      <c r="S64" s="1399"/>
      <c r="T64" s="1365"/>
      <c r="AC64" s="1340"/>
    </row>
    <row r="65" spans="1:29" ht="16" customHeight="1">
      <c r="A65" s="801"/>
      <c r="C65" s="1355"/>
      <c r="D65" s="1354"/>
      <c r="E65" s="1385"/>
      <c r="F65" s="1385"/>
      <c r="G65" s="1385"/>
      <c r="H65" s="1390"/>
      <c r="I65" s="1381"/>
      <c r="J65" s="1365"/>
      <c r="K65" s="1363"/>
      <c r="L65" s="1363"/>
      <c r="M65" s="1363"/>
      <c r="N65" s="1365"/>
      <c r="P65" s="1401"/>
      <c r="Q65" s="1403"/>
      <c r="R65" s="1399"/>
      <c r="S65" s="1399"/>
      <c r="T65" s="1365"/>
      <c r="AC65" s="1340"/>
    </row>
    <row r="66" spans="1:29">
      <c r="A66" s="801"/>
      <c r="C66" s="1355"/>
      <c r="D66" s="1354"/>
      <c r="E66" s="1385"/>
      <c r="F66" s="1385"/>
      <c r="G66" s="1385"/>
      <c r="H66" s="1390"/>
      <c r="I66" s="1381"/>
      <c r="J66" s="1365"/>
      <c r="K66" s="1363"/>
      <c r="L66" s="1363"/>
      <c r="M66" s="1363"/>
      <c r="N66" s="1365"/>
      <c r="P66" s="1401"/>
      <c r="Q66" s="1403"/>
      <c r="R66" s="1399"/>
      <c r="S66" s="1399"/>
      <c r="T66" s="1365"/>
      <c r="AC66" s="1340"/>
    </row>
    <row r="67" spans="1:29" ht="15" customHeight="1">
      <c r="A67" s="801"/>
      <c r="C67" s="1355"/>
      <c r="D67" s="1354"/>
      <c r="E67" s="1385"/>
      <c r="F67" s="1385"/>
      <c r="G67" s="1385"/>
      <c r="H67" s="1390"/>
      <c r="I67" s="1381"/>
      <c r="J67" s="1365"/>
      <c r="K67" s="1363"/>
      <c r="L67" s="1363"/>
      <c r="M67" s="1363"/>
      <c r="N67" s="1365"/>
      <c r="P67" s="1401"/>
      <c r="Q67" s="1403"/>
      <c r="R67" s="1399"/>
      <c r="S67" s="1399"/>
      <c r="T67" s="1365"/>
      <c r="AC67" s="1340"/>
    </row>
    <row r="68" spans="1:29" ht="33" customHeight="1">
      <c r="A68" s="801"/>
      <c r="C68" s="1355"/>
      <c r="D68" s="1354"/>
      <c r="E68" s="1385"/>
      <c r="F68" s="1385"/>
      <c r="G68" s="1385"/>
      <c r="H68" s="1390"/>
      <c r="I68" s="1381"/>
      <c r="J68" s="1365"/>
      <c r="K68" s="1363"/>
      <c r="L68" s="1363"/>
      <c r="M68" s="1363"/>
      <c r="N68" s="1365"/>
      <c r="P68" s="1401"/>
      <c r="Q68" s="1403"/>
      <c r="R68" s="1399"/>
      <c r="S68" s="1399"/>
      <c r="T68" s="1365"/>
      <c r="AC68" s="1340"/>
    </row>
    <row r="69" spans="1:29">
      <c r="A69" s="800">
        <f>A39+1</f>
        <v>9</v>
      </c>
      <c r="B69" s="769">
        <f>B39+1</f>
        <v>9</v>
      </c>
      <c r="C69" s="749" t="s">
        <v>142</v>
      </c>
      <c r="D69" s="246">
        <v>56</v>
      </c>
      <c r="E69" s="246">
        <f>2*D69</f>
        <v>112</v>
      </c>
      <c r="F69" s="246">
        <f>2*57</f>
        <v>114</v>
      </c>
      <c r="G69" s="330">
        <f>1.15*F69</f>
        <v>131.1</v>
      </c>
      <c r="H69" s="969">
        <f>0.23*E69</f>
        <v>25.76</v>
      </c>
      <c r="I69" s="968">
        <f>0.5*(0.23*E69)*1.1</f>
        <v>14.168000000000003</v>
      </c>
      <c r="J69" s="244">
        <f>(2*14)+23</f>
        <v>51</v>
      </c>
      <c r="K69" s="167">
        <v>59</v>
      </c>
      <c r="L69" s="167">
        <f>(240-200)+15+(125-102)</f>
        <v>78</v>
      </c>
      <c r="M69" s="167">
        <f>(2*L69)+(2*71)</f>
        <v>298</v>
      </c>
      <c r="N69" s="244">
        <f>(2*1)+(2*40)+23</f>
        <v>105</v>
      </c>
      <c r="P69" s="582" t="s">
        <v>10</v>
      </c>
      <c r="Q69" s="245">
        <f>H69</f>
        <v>25.76</v>
      </c>
      <c r="R69" s="248">
        <f t="shared" ref="R69:R71" si="9">N69</f>
        <v>105</v>
      </c>
      <c r="S69" s="248">
        <f>J69</f>
        <v>51</v>
      </c>
      <c r="T69" s="331">
        <f>M69-G69</f>
        <v>166.9</v>
      </c>
      <c r="AC69" s="963">
        <f>B69</f>
        <v>9</v>
      </c>
    </row>
    <row r="70" spans="1:29">
      <c r="A70" s="124">
        <f>A69+1</f>
        <v>10</v>
      </c>
      <c r="B70" s="769">
        <f>B69+1</f>
        <v>10</v>
      </c>
      <c r="C70" s="247" t="s">
        <v>96</v>
      </c>
      <c r="D70" s="246">
        <v>74</v>
      </c>
      <c r="E70" s="246">
        <f>2*D70</f>
        <v>148</v>
      </c>
      <c r="F70" s="246">
        <f>2*65</f>
        <v>130</v>
      </c>
      <c r="G70" s="330">
        <f>1.15*F70</f>
        <v>149.5</v>
      </c>
      <c r="H70" s="969">
        <f t="shared" ref="H70:H71" si="10">0.23*E70</f>
        <v>34.04</v>
      </c>
      <c r="I70" s="968">
        <f t="shared" ref="I70:I71" si="11">0.5*(0.23*E70)*1.1</f>
        <v>18.722000000000001</v>
      </c>
      <c r="J70" s="244">
        <f>(2*17)+23</f>
        <v>57</v>
      </c>
      <c r="K70" s="167">
        <v>63</v>
      </c>
      <c r="L70" s="167">
        <f>183-147</f>
        <v>36</v>
      </c>
      <c r="M70" s="167">
        <f>(2*L70)+(2*71)</f>
        <v>214</v>
      </c>
      <c r="N70" s="244">
        <f>(2*54)+23</f>
        <v>131</v>
      </c>
      <c r="P70" s="582" t="s">
        <v>11</v>
      </c>
      <c r="Q70" s="245">
        <f>H70</f>
        <v>34.04</v>
      </c>
      <c r="R70" s="248">
        <f t="shared" si="9"/>
        <v>131</v>
      </c>
      <c r="S70" s="248">
        <f>J70</f>
        <v>57</v>
      </c>
      <c r="T70" s="331">
        <f>M70-G70</f>
        <v>64.5</v>
      </c>
      <c r="AC70" s="963">
        <f t="shared" ref="AC70:AC71" si="12">B70</f>
        <v>10</v>
      </c>
    </row>
    <row r="71" spans="1:29" ht="15" customHeight="1">
      <c r="A71" s="124">
        <f t="shared" ref="A71:B71" si="13">A70+1</f>
        <v>11</v>
      </c>
      <c r="B71" s="769">
        <f t="shared" si="13"/>
        <v>11</v>
      </c>
      <c r="C71" s="55" t="s">
        <v>143</v>
      </c>
      <c r="D71" s="167">
        <v>81</v>
      </c>
      <c r="E71" s="168">
        <f>D71*2</f>
        <v>162</v>
      </c>
      <c r="F71" s="167">
        <f>2*87</f>
        <v>174</v>
      </c>
      <c r="G71" s="169">
        <f>1.15*F71</f>
        <v>200.1</v>
      </c>
      <c r="H71" s="969">
        <f t="shared" si="10"/>
        <v>37.260000000000005</v>
      </c>
      <c r="I71" s="968">
        <f t="shared" si="11"/>
        <v>20.493000000000006</v>
      </c>
      <c r="J71" s="244">
        <f>(2*18.5)+23</f>
        <v>60</v>
      </c>
      <c r="K71" s="167">
        <v>88</v>
      </c>
      <c r="L71" s="167">
        <f>(147-102)+15+(240-200)</f>
        <v>100</v>
      </c>
      <c r="M71" s="167">
        <f>(2*L71)+(2*71)</f>
        <v>342</v>
      </c>
      <c r="N71" s="971">
        <f>(2*1)+(2*48)+23</f>
        <v>121</v>
      </c>
      <c r="P71" s="583" t="s">
        <v>99</v>
      </c>
      <c r="Q71" s="581">
        <f>H71</f>
        <v>37.260000000000005</v>
      </c>
      <c r="R71" s="248">
        <f t="shared" si="9"/>
        <v>121</v>
      </c>
      <c r="S71" s="248">
        <f>J71</f>
        <v>60</v>
      </c>
      <c r="T71" s="331">
        <f>M71-G71</f>
        <v>141.9</v>
      </c>
      <c r="AC71" s="963">
        <f t="shared" si="12"/>
        <v>11</v>
      </c>
    </row>
    <row r="72" spans="1:29" ht="16" customHeight="1">
      <c r="C72" s="247"/>
      <c r="D72" s="1386" t="s">
        <v>1205</v>
      </c>
      <c r="E72" s="1386"/>
      <c r="F72" s="1388" t="s">
        <v>1198</v>
      </c>
      <c r="G72" s="1346" t="s">
        <v>1199</v>
      </c>
      <c r="H72" s="1372" t="s">
        <v>797</v>
      </c>
      <c r="I72" s="1391"/>
      <c r="J72" s="1376" t="s">
        <v>1207</v>
      </c>
      <c r="K72" s="1362" t="s">
        <v>1208</v>
      </c>
      <c r="L72" s="1378" t="s">
        <v>744</v>
      </c>
      <c r="M72" s="1348" t="s">
        <v>1202</v>
      </c>
      <c r="N72" s="1348" t="s">
        <v>1203</v>
      </c>
    </row>
    <row r="73" spans="1:29">
      <c r="C73" s="247"/>
      <c r="D73" s="1386"/>
      <c r="E73" s="1386"/>
      <c r="F73" s="1365"/>
      <c r="G73" s="1347"/>
      <c r="H73" s="1363"/>
      <c r="I73" s="1392"/>
      <c r="J73" s="1377"/>
      <c r="K73" s="1363"/>
      <c r="L73" s="1379"/>
      <c r="M73" s="1348"/>
      <c r="N73" s="1348"/>
      <c r="T73" s="508" t="s">
        <v>82</v>
      </c>
    </row>
    <row r="74" spans="1:29">
      <c r="C74" s="247"/>
      <c r="D74" s="1386"/>
      <c r="E74" s="1386"/>
      <c r="F74" s="1365"/>
      <c r="G74" s="1347"/>
      <c r="H74" s="1363"/>
      <c r="I74" s="1392"/>
      <c r="J74" s="1377"/>
      <c r="K74" s="1363"/>
      <c r="L74" s="1379"/>
      <c r="M74" s="1348"/>
      <c r="N74" s="1348"/>
    </row>
    <row r="75" spans="1:29">
      <c r="C75" s="247"/>
      <c r="D75" s="1386"/>
      <c r="E75" s="1386"/>
      <c r="F75" s="1365"/>
      <c r="G75" s="1347"/>
      <c r="H75" s="1363"/>
      <c r="I75" s="1392"/>
      <c r="J75" s="1377"/>
      <c r="K75" s="1363"/>
      <c r="L75" s="1379"/>
      <c r="M75" s="1348"/>
      <c r="N75" s="1348"/>
    </row>
    <row r="76" spans="1:29">
      <c r="C76" s="247"/>
      <c r="D76" s="1385"/>
      <c r="E76" s="1385"/>
      <c r="F76" s="1365"/>
      <c r="G76" s="1347"/>
      <c r="H76" s="1363"/>
      <c r="I76" s="1392"/>
      <c r="J76" s="1377"/>
      <c r="K76" s="1363"/>
      <c r="L76" s="1379"/>
      <c r="M76" s="1348"/>
      <c r="N76" s="1348"/>
    </row>
    <row r="77" spans="1:29">
      <c r="C77" s="247"/>
      <c r="D77" s="1385"/>
      <c r="E77" s="1385"/>
      <c r="F77" s="1365"/>
      <c r="G77" s="1347"/>
      <c r="H77" s="1363"/>
      <c r="I77" s="1392"/>
      <c r="J77" s="1377"/>
      <c r="K77" s="1363"/>
      <c r="L77" s="1379"/>
      <c r="M77" s="1348"/>
      <c r="N77" s="1348"/>
    </row>
    <row r="78" spans="1:29">
      <c r="C78" s="247"/>
      <c r="D78" s="1385"/>
      <c r="E78" s="1385"/>
      <c r="F78" s="1365"/>
      <c r="G78" s="1347"/>
      <c r="H78" s="1363"/>
      <c r="I78" s="1392"/>
      <c r="J78" s="1377"/>
      <c r="K78" s="1363"/>
      <c r="L78" s="1379"/>
      <c r="M78" s="1348"/>
      <c r="N78" s="1348"/>
    </row>
    <row r="79" spans="1:29">
      <c r="C79" s="749"/>
      <c r="D79" s="1385"/>
      <c r="E79" s="1385"/>
      <c r="F79" s="1365"/>
      <c r="G79" s="1347"/>
      <c r="H79" s="1363"/>
      <c r="I79" s="1392"/>
      <c r="J79" s="1377"/>
      <c r="K79" s="1363"/>
      <c r="L79" s="1379"/>
      <c r="M79" s="1348"/>
      <c r="N79" s="1348"/>
    </row>
    <row r="80" spans="1:29">
      <c r="C80" s="750"/>
      <c r="D80" s="1385"/>
      <c r="E80" s="1385"/>
      <c r="F80" s="1365"/>
      <c r="G80" s="1347"/>
      <c r="H80" s="1363"/>
      <c r="I80" s="1392"/>
      <c r="J80" s="1377"/>
      <c r="K80" s="1363"/>
      <c r="L80" s="1379"/>
      <c r="M80" s="1348"/>
      <c r="N80" s="1348"/>
    </row>
    <row r="81" spans="3:14">
      <c r="C81" s="247"/>
      <c r="D81" s="1385"/>
      <c r="E81" s="1385"/>
      <c r="F81" s="1365"/>
      <c r="G81" s="1347"/>
      <c r="H81" s="1363"/>
      <c r="I81" s="1392"/>
      <c r="J81" s="1377"/>
      <c r="K81" s="1363"/>
      <c r="L81" s="1379"/>
      <c r="M81" s="1348"/>
      <c r="N81" s="1348"/>
    </row>
    <row r="82" spans="3:14">
      <c r="C82" s="247"/>
      <c r="D82" s="1385"/>
      <c r="E82" s="1385"/>
      <c r="F82" s="1365"/>
      <c r="G82" s="1347"/>
      <c r="H82" s="1363"/>
      <c r="I82" s="1392"/>
      <c r="J82" s="1377"/>
      <c r="K82" s="1363"/>
      <c r="L82" s="1379"/>
      <c r="M82" s="1348"/>
      <c r="N82" s="1348"/>
    </row>
    <row r="83" spans="3:14">
      <c r="C83" s="247"/>
      <c r="D83" s="1385"/>
      <c r="E83" s="1385"/>
      <c r="G83" s="1347"/>
      <c r="H83" s="1363"/>
      <c r="I83" s="1365"/>
      <c r="J83" s="1377"/>
      <c r="L83" s="1379"/>
      <c r="M83" s="1348"/>
      <c r="N83" s="1348"/>
    </row>
    <row r="84" spans="3:14">
      <c r="C84" s="247"/>
      <c r="D84" s="1385"/>
      <c r="E84" s="1385"/>
      <c r="G84" s="1347"/>
      <c r="H84" s="1363"/>
      <c r="I84" s="1365"/>
      <c r="J84" s="1377"/>
      <c r="L84" s="1379"/>
      <c r="M84" s="1348"/>
      <c r="N84" s="1348"/>
    </row>
    <row r="85" spans="3:14">
      <c r="C85" s="247"/>
      <c r="D85" s="1385"/>
      <c r="E85" s="1385"/>
      <c r="G85" s="1347"/>
      <c r="H85" s="1363"/>
      <c r="I85" s="1365"/>
      <c r="J85" s="1377"/>
      <c r="L85" s="1379"/>
      <c r="M85" s="1348"/>
      <c r="N85" s="1348"/>
    </row>
    <row r="86" spans="3:14">
      <c r="C86" s="247"/>
      <c r="D86" s="1385"/>
      <c r="E86" s="1385"/>
      <c r="G86" s="1347"/>
      <c r="H86" s="1363"/>
      <c r="I86" s="1365"/>
      <c r="J86" s="1377"/>
      <c r="L86" s="1379"/>
      <c r="M86" s="1348"/>
      <c r="N86" s="1348"/>
    </row>
    <row r="87" spans="3:14">
      <c r="C87" s="247"/>
      <c r="D87" s="1385"/>
      <c r="E87" s="1385"/>
      <c r="G87" s="1347"/>
      <c r="H87" s="1363"/>
      <c r="I87" s="1365"/>
      <c r="J87" s="1377"/>
      <c r="L87" s="1379"/>
      <c r="M87" s="1348"/>
      <c r="N87" s="1348"/>
    </row>
    <row r="88" spans="3:14" ht="31" customHeight="1">
      <c r="C88" s="247"/>
      <c r="D88" s="1385"/>
      <c r="E88" s="1385"/>
      <c r="G88" s="1347"/>
      <c r="H88" s="1363"/>
      <c r="I88" s="1365"/>
      <c r="J88" s="1377"/>
      <c r="L88" s="1379"/>
      <c r="M88" s="1348"/>
      <c r="N88" s="1348"/>
    </row>
  </sheetData>
  <mergeCells count="90">
    <mergeCell ref="N40:N56"/>
    <mergeCell ref="AC63:AC68"/>
    <mergeCell ref="R62:R68"/>
    <mergeCell ref="N62:N68"/>
    <mergeCell ref="N72:N88"/>
    <mergeCell ref="N11:N27"/>
    <mergeCell ref="T62:T68"/>
    <mergeCell ref="S62:S68"/>
    <mergeCell ref="R33:R34"/>
    <mergeCell ref="T33:T34"/>
    <mergeCell ref="P62:P68"/>
    <mergeCell ref="Q62:Q68"/>
    <mergeCell ref="P33:P34"/>
    <mergeCell ref="N33:N34"/>
    <mergeCell ref="C59:S59"/>
    <mergeCell ref="C30:T30"/>
    <mergeCell ref="D40:E56"/>
    <mergeCell ref="C62:C68"/>
    <mergeCell ref="D62:D68"/>
    <mergeCell ref="I62:I68"/>
    <mergeCell ref="D33:D34"/>
    <mergeCell ref="H11:H27"/>
    <mergeCell ref="G11:G27"/>
    <mergeCell ref="D31:I31"/>
    <mergeCell ref="I11:I27"/>
    <mergeCell ref="E6:E7"/>
    <mergeCell ref="F11:F21"/>
    <mergeCell ref="D11:E27"/>
    <mergeCell ref="E33:E34"/>
    <mergeCell ref="F6:F7"/>
    <mergeCell ref="I6:I7"/>
    <mergeCell ref="E62:E68"/>
    <mergeCell ref="D72:E88"/>
    <mergeCell ref="I40:I55"/>
    <mergeCell ref="F72:F82"/>
    <mergeCell ref="F62:F68"/>
    <mergeCell ref="G72:G88"/>
    <mergeCell ref="G62:G68"/>
    <mergeCell ref="H62:H68"/>
    <mergeCell ref="I72:I88"/>
    <mergeCell ref="F40:F50"/>
    <mergeCell ref="H40:H56"/>
    <mergeCell ref="H6:H7"/>
    <mergeCell ref="D6:D7"/>
    <mergeCell ref="H72:H88"/>
    <mergeCell ref="J40:J45"/>
    <mergeCell ref="M62:M68"/>
    <mergeCell ref="J48:J53"/>
    <mergeCell ref="L40:L53"/>
    <mergeCell ref="M72:M88"/>
    <mergeCell ref="K62:K68"/>
    <mergeCell ref="J72:J88"/>
    <mergeCell ref="K72:K82"/>
    <mergeCell ref="L62:L68"/>
    <mergeCell ref="L72:L88"/>
    <mergeCell ref="J62:J68"/>
    <mergeCell ref="D60:I60"/>
    <mergeCell ref="K40:K53"/>
    <mergeCell ref="C1:N1"/>
    <mergeCell ref="J33:J34"/>
    <mergeCell ref="F33:F34"/>
    <mergeCell ref="I33:I34"/>
    <mergeCell ref="H33:H34"/>
    <mergeCell ref="C2:X2"/>
    <mergeCell ref="K11:K21"/>
    <mergeCell ref="J11:J27"/>
    <mergeCell ref="J6:J7"/>
    <mergeCell ref="D4:I4"/>
    <mergeCell ref="C6:C7"/>
    <mergeCell ref="N6:N7"/>
    <mergeCell ref="Q33:Q34"/>
    <mergeCell ref="L33:L34"/>
    <mergeCell ref="K33:K34"/>
    <mergeCell ref="S33:S34"/>
    <mergeCell ref="A2:A3"/>
    <mergeCell ref="D3:I3"/>
    <mergeCell ref="K3:N3"/>
    <mergeCell ref="B2:B3"/>
    <mergeCell ref="G40:G56"/>
    <mergeCell ref="M40:M56"/>
    <mergeCell ref="M11:M27"/>
    <mergeCell ref="K6:K7"/>
    <mergeCell ref="C11:C25"/>
    <mergeCell ref="L6:L7"/>
    <mergeCell ref="M6:M7"/>
    <mergeCell ref="L11:L27"/>
    <mergeCell ref="G6:G7"/>
    <mergeCell ref="C33:C34"/>
    <mergeCell ref="M33:M34"/>
    <mergeCell ref="G33:G34"/>
  </mergeCells>
  <phoneticPr fontId="54"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F87"/>
  <sheetViews>
    <sheetView tabSelected="1" topLeftCell="T1" zoomScaleNormal="100" zoomScalePageLayoutView="135" workbookViewId="0">
      <selection activeCell="BF5" sqref="BF5"/>
    </sheetView>
  </sheetViews>
  <sheetFormatPr baseColWidth="10" defaultColWidth="11" defaultRowHeight="16"/>
  <cols>
    <col min="3" max="3" width="55.33203125" customWidth="1"/>
    <col min="4" max="6" width="10.83203125" customWidth="1"/>
    <col min="7" max="7" width="11.83203125" customWidth="1"/>
    <col min="8" max="8" width="13.1640625" customWidth="1"/>
    <col min="9" max="9" width="12.33203125" customWidth="1"/>
    <col min="10" max="10" width="10.6640625" customWidth="1"/>
    <col min="11" max="11" width="9.83203125" customWidth="1"/>
    <col min="12" max="12" width="9.6640625" customWidth="1"/>
    <col min="13" max="13" width="9.33203125" customWidth="1"/>
    <col min="14" max="14" width="10.33203125" customWidth="1"/>
    <col min="15" max="15" width="10.83203125" customWidth="1"/>
    <col min="16" max="16" width="9.83203125" customWidth="1"/>
    <col min="17" max="17" width="7.33203125" customWidth="1"/>
    <col min="18" max="18" width="9.6640625" customWidth="1"/>
    <col min="19" max="19" width="13.6640625" customWidth="1"/>
    <col min="20" max="20" width="11" customWidth="1"/>
    <col min="21" max="21" width="11.5" customWidth="1"/>
    <col min="22" max="22" width="12" customWidth="1"/>
    <col min="23" max="23" width="11" customWidth="1"/>
    <col min="24" max="24" width="8.1640625" customWidth="1"/>
    <col min="25" max="25" width="10.1640625" customWidth="1"/>
    <col min="26" max="26" width="13" customWidth="1"/>
    <col min="27" max="27" width="9.1640625" customWidth="1"/>
    <col min="28" max="28" width="10.33203125" customWidth="1"/>
    <col min="29" max="29" width="11.5" customWidth="1"/>
    <col min="30" max="30" width="9.33203125" customWidth="1"/>
    <col min="31" max="32" width="11" customWidth="1"/>
    <col min="33" max="33" width="13" customWidth="1"/>
    <col min="34" max="34" width="8.6640625" customWidth="1"/>
    <col min="35" max="35" width="11.33203125" customWidth="1"/>
    <col min="36" max="39" width="11" customWidth="1"/>
    <col min="40" max="40" width="10.5" customWidth="1"/>
    <col min="41" max="41" width="10" customWidth="1"/>
    <col min="42" max="42" width="0.83203125" customWidth="1"/>
    <col min="43" max="43" width="38.6640625" customWidth="1"/>
    <col min="44" max="45" width="8" customWidth="1"/>
    <col min="46" max="46" width="9.83203125" customWidth="1"/>
    <col min="47" max="48" width="9" customWidth="1"/>
    <col min="49" max="49" width="2.83203125" customWidth="1"/>
    <col min="50" max="50" width="11" customWidth="1"/>
  </cols>
  <sheetData>
    <row r="1" spans="1:58" ht="23" customHeight="1">
      <c r="C1" s="1356" t="s">
        <v>244</v>
      </c>
      <c r="D1" s="1356"/>
      <c r="E1" s="1356"/>
      <c r="F1" s="1356"/>
      <c r="G1" s="1356"/>
      <c r="H1" s="1356"/>
      <c r="I1" s="1356"/>
      <c r="J1" s="1356"/>
      <c r="K1" s="1356"/>
      <c r="L1" s="1356"/>
      <c r="M1" s="1356"/>
      <c r="N1" s="1356"/>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3"/>
      <c r="AL1" s="1553"/>
      <c r="AM1" s="1553"/>
      <c r="AN1" s="1553"/>
      <c r="AO1" s="1553"/>
    </row>
    <row r="2" spans="1:58">
      <c r="A2" s="1339" t="s">
        <v>330</v>
      </c>
      <c r="B2" s="1344" t="s">
        <v>331</v>
      </c>
      <c r="C2" s="766" t="s">
        <v>404</v>
      </c>
      <c r="AP2" s="12"/>
    </row>
    <row r="3" spans="1:58" s="779" customFormat="1" ht="23" customHeight="1">
      <c r="A3" s="1340"/>
      <c r="B3" s="1345"/>
      <c r="C3" s="794" t="s">
        <v>324</v>
      </c>
      <c r="D3" s="1468" t="s">
        <v>787</v>
      </c>
      <c r="E3" s="1469"/>
      <c r="F3" s="1469"/>
      <c r="G3" s="1469"/>
      <c r="H3" s="1469"/>
      <c r="I3" s="1469"/>
      <c r="J3" s="1476" t="s">
        <v>328</v>
      </c>
      <c r="K3" s="1469"/>
      <c r="L3" s="1469"/>
      <c r="M3" s="1469"/>
      <c r="N3" s="1469"/>
      <c r="O3" s="1469"/>
      <c r="P3" s="1469"/>
      <c r="Q3" s="1469"/>
      <c r="R3" s="776"/>
      <c r="S3" s="776"/>
      <c r="T3" s="777"/>
      <c r="U3" s="777"/>
      <c r="V3" s="777"/>
      <c r="W3" s="777"/>
      <c r="X3" s="777"/>
      <c r="Y3" s="777"/>
      <c r="Z3" s="777"/>
      <c r="AA3" s="777"/>
      <c r="AB3" s="777"/>
      <c r="AC3" s="777"/>
      <c r="AD3" s="777"/>
      <c r="AE3" s="777"/>
      <c r="AF3" s="777"/>
      <c r="AG3" s="777"/>
      <c r="AH3" s="777"/>
      <c r="AI3" s="834"/>
      <c r="AJ3" s="1643" t="s">
        <v>786</v>
      </c>
      <c r="AK3" s="1643"/>
      <c r="AL3" s="1643"/>
      <c r="AM3" s="1643"/>
      <c r="AN3" s="1643"/>
      <c r="AO3" s="1643"/>
      <c r="AP3" s="778"/>
    </row>
    <row r="4" spans="1:58">
      <c r="B4" s="960" t="s">
        <v>92</v>
      </c>
      <c r="AP4" s="465"/>
      <c r="BF4" s="980" t="s">
        <v>783</v>
      </c>
    </row>
    <row r="5" spans="1:58" s="1122" customFormat="1" ht="30" customHeight="1">
      <c r="B5" s="1236"/>
      <c r="C5" s="1117" t="s">
        <v>93</v>
      </c>
      <c r="D5" s="1678" t="s">
        <v>39</v>
      </c>
      <c r="E5" s="1679"/>
      <c r="F5" s="1679"/>
      <c r="G5" s="1679"/>
      <c r="H5" s="1679"/>
      <c r="I5" s="1679"/>
      <c r="J5" s="1523" t="s">
        <v>104</v>
      </c>
      <c r="K5" s="1448"/>
      <c r="L5" s="1653"/>
      <c r="M5" s="1653"/>
      <c r="N5" s="1653"/>
      <c r="O5" s="1653"/>
      <c r="P5" s="1653"/>
      <c r="Q5" s="1653"/>
      <c r="R5" s="1432" t="s">
        <v>22</v>
      </c>
      <c r="S5" s="1433"/>
      <c r="T5" s="1409" t="s">
        <v>136</v>
      </c>
      <c r="U5" s="1410"/>
      <c r="V5" s="1410"/>
      <c r="W5" s="1410"/>
      <c r="X5" s="1410"/>
      <c r="Y5" s="1411" t="s">
        <v>133</v>
      </c>
      <c r="Z5" s="1412"/>
      <c r="AA5" s="1118"/>
      <c r="AB5" s="1118"/>
      <c r="AC5" s="1645" t="s">
        <v>101</v>
      </c>
      <c r="AD5" s="1646"/>
      <c r="AE5" s="1647"/>
      <c r="AF5" s="1584" t="s">
        <v>134</v>
      </c>
      <c r="AG5" s="1585"/>
      <c r="AH5" s="1237"/>
      <c r="AI5" s="1454" t="s">
        <v>25</v>
      </c>
      <c r="AJ5" s="1435"/>
      <c r="AK5" s="1435"/>
      <c r="AL5" s="1435"/>
      <c r="AM5" s="1435"/>
      <c r="AN5" s="1436"/>
      <c r="AO5" s="1120"/>
      <c r="AP5" s="1125"/>
      <c r="AV5" s="1317" t="s">
        <v>82</v>
      </c>
      <c r="BF5" s="981" t="s">
        <v>784</v>
      </c>
    </row>
    <row r="6" spans="1:58">
      <c r="B6" s="464"/>
      <c r="C6" s="505"/>
      <c r="D6" s="173">
        <v>1</v>
      </c>
      <c r="E6" s="134">
        <f>D6+1</f>
        <v>2</v>
      </c>
      <c r="F6" s="134">
        <f>E6+1</f>
        <v>3</v>
      </c>
      <c r="G6" s="134">
        <f t="shared" ref="G6:AO6" si="0">F6+1</f>
        <v>4</v>
      </c>
      <c r="H6" s="134">
        <f t="shared" si="0"/>
        <v>5</v>
      </c>
      <c r="I6" s="134">
        <f t="shared" si="0"/>
        <v>6</v>
      </c>
      <c r="J6" s="173">
        <f t="shared" si="0"/>
        <v>7</v>
      </c>
      <c r="K6" s="134">
        <f t="shared" ref="K6" si="1">J6+1</f>
        <v>8</v>
      </c>
      <c r="L6" s="134">
        <f t="shared" ref="L6" si="2">K6+1</f>
        <v>9</v>
      </c>
      <c r="M6" s="134">
        <f t="shared" ref="M6" si="3">L6+1</f>
        <v>10</v>
      </c>
      <c r="N6" s="134">
        <f t="shared" ref="N6" si="4">M6+1</f>
        <v>11</v>
      </c>
      <c r="O6" s="134">
        <f t="shared" ref="O6" si="5">N6+1</f>
        <v>12</v>
      </c>
      <c r="P6" s="134">
        <f t="shared" ref="P6" si="6">O6+1</f>
        <v>13</v>
      </c>
      <c r="Q6" s="133">
        <f t="shared" ref="Q6" si="7">P6+1</f>
        <v>14</v>
      </c>
      <c r="R6" s="151">
        <f t="shared" ref="R6" si="8">Q6+1</f>
        <v>15</v>
      </c>
      <c r="S6" s="365">
        <f t="shared" ref="S6" si="9">R6+1</f>
        <v>16</v>
      </c>
      <c r="T6" s="173">
        <f t="shared" ref="T6" si="10">S6+1</f>
        <v>17</v>
      </c>
      <c r="U6" s="134">
        <f t="shared" si="0"/>
        <v>18</v>
      </c>
      <c r="V6" s="134">
        <f t="shared" si="0"/>
        <v>19</v>
      </c>
      <c r="W6" s="364">
        <f t="shared" si="0"/>
        <v>20</v>
      </c>
      <c r="X6" s="134">
        <f t="shared" si="0"/>
        <v>21</v>
      </c>
      <c r="Y6" s="151">
        <f t="shared" si="0"/>
        <v>22</v>
      </c>
      <c r="Z6" s="365">
        <f t="shared" si="0"/>
        <v>23</v>
      </c>
      <c r="AA6" s="134">
        <f t="shared" si="0"/>
        <v>24</v>
      </c>
      <c r="AB6" s="134">
        <f t="shared" si="0"/>
        <v>25</v>
      </c>
      <c r="AC6" s="173">
        <f t="shared" si="0"/>
        <v>26</v>
      </c>
      <c r="AD6" s="134">
        <f t="shared" si="0"/>
        <v>27</v>
      </c>
      <c r="AE6" s="133">
        <f t="shared" si="0"/>
        <v>28</v>
      </c>
      <c r="AF6" s="151">
        <f t="shared" si="0"/>
        <v>29</v>
      </c>
      <c r="AG6" s="365">
        <f t="shared" si="0"/>
        <v>30</v>
      </c>
      <c r="AH6" s="467">
        <f t="shared" si="0"/>
        <v>31</v>
      </c>
      <c r="AI6" s="134">
        <f>AH6+1</f>
        <v>32</v>
      </c>
      <c r="AJ6" s="134">
        <f>AI6+1</f>
        <v>33</v>
      </c>
      <c r="AK6" s="134">
        <f t="shared" si="0"/>
        <v>34</v>
      </c>
      <c r="AL6" s="134">
        <f t="shared" si="0"/>
        <v>35</v>
      </c>
      <c r="AM6" s="134">
        <f>AL6+1</f>
        <v>36</v>
      </c>
      <c r="AN6" s="133">
        <f>AM6+1</f>
        <v>37</v>
      </c>
      <c r="AO6" s="133">
        <f t="shared" si="0"/>
        <v>38</v>
      </c>
      <c r="AP6" s="468"/>
      <c r="BF6" s="982" t="s">
        <v>785</v>
      </c>
    </row>
    <row r="7" spans="1:58" ht="129" customHeight="1">
      <c r="B7" s="464"/>
      <c r="C7" s="761" t="s">
        <v>1082</v>
      </c>
      <c r="D7" s="1026" t="s">
        <v>405</v>
      </c>
      <c r="E7" s="1025" t="s">
        <v>406</v>
      </c>
      <c r="F7" s="1025" t="s">
        <v>407</v>
      </c>
      <c r="G7" s="1025" t="s">
        <v>408</v>
      </c>
      <c r="H7" s="418" t="s">
        <v>409</v>
      </c>
      <c r="I7" s="418" t="s">
        <v>410</v>
      </c>
      <c r="J7" s="1026" t="s">
        <v>411</v>
      </c>
      <c r="K7" s="1025" t="s">
        <v>1089</v>
      </c>
      <c r="L7" s="1025" t="s">
        <v>413</v>
      </c>
      <c r="M7" s="1025" t="s">
        <v>414</v>
      </c>
      <c r="N7" s="1025" t="s">
        <v>415</v>
      </c>
      <c r="O7" s="1025" t="s">
        <v>416</v>
      </c>
      <c r="P7" s="1025" t="s">
        <v>417</v>
      </c>
      <c r="Q7" s="1027" t="s">
        <v>418</v>
      </c>
      <c r="R7" s="488" t="s">
        <v>419</v>
      </c>
      <c r="S7" s="322" t="s">
        <v>420</v>
      </c>
      <c r="T7" s="819" t="s">
        <v>421</v>
      </c>
      <c r="U7" s="819" t="s">
        <v>422</v>
      </c>
      <c r="V7" s="819" t="s">
        <v>423</v>
      </c>
      <c r="W7" s="819" t="s">
        <v>424</v>
      </c>
      <c r="X7" s="819" t="s">
        <v>284</v>
      </c>
      <c r="Y7" s="175" t="s">
        <v>425</v>
      </c>
      <c r="Z7" s="545" t="s">
        <v>426</v>
      </c>
      <c r="AA7" s="819" t="s">
        <v>427</v>
      </c>
      <c r="AB7" s="819" t="s">
        <v>428</v>
      </c>
      <c r="AC7" s="1026" t="s">
        <v>429</v>
      </c>
      <c r="AD7" s="819" t="s">
        <v>430</v>
      </c>
      <c r="AE7" s="1156" t="s">
        <v>431</v>
      </c>
      <c r="AF7" s="154" t="s">
        <v>432</v>
      </c>
      <c r="AG7" s="155" t="s">
        <v>433</v>
      </c>
      <c r="AH7" s="1238" t="s">
        <v>434</v>
      </c>
      <c r="AI7" s="1026" t="s">
        <v>346</v>
      </c>
      <c r="AJ7" s="1032" t="s">
        <v>435</v>
      </c>
      <c r="AK7" s="1239" t="s">
        <v>0</v>
      </c>
      <c r="AL7" s="1112" t="s">
        <v>27</v>
      </c>
      <c r="AM7" s="819" t="s">
        <v>402</v>
      </c>
      <c r="AN7" s="820" t="s">
        <v>343</v>
      </c>
      <c r="AO7" s="470" t="s">
        <v>436</v>
      </c>
      <c r="AP7" s="446"/>
      <c r="AQ7" s="880" t="s">
        <v>437</v>
      </c>
      <c r="AR7" s="418" t="s">
        <v>438</v>
      </c>
      <c r="AS7" s="418" t="s">
        <v>439</v>
      </c>
      <c r="AT7" s="361" t="s">
        <v>440</v>
      </c>
      <c r="AU7" s="861" t="s">
        <v>403</v>
      </c>
      <c r="AV7" s="861" t="s">
        <v>746</v>
      </c>
      <c r="AW7" s="1111"/>
      <c r="BF7" s="978" t="s">
        <v>779</v>
      </c>
    </row>
    <row r="8" spans="1:58" s="670" customFormat="1" ht="16" customHeight="1">
      <c r="A8" s="809">
        <v>1</v>
      </c>
      <c r="B8" s="783">
        <v>1</v>
      </c>
      <c r="C8" s="692" t="s">
        <v>1067</v>
      </c>
      <c r="D8" s="892">
        <v>121</v>
      </c>
      <c r="E8" s="1164">
        <f>2*D8</f>
        <v>242</v>
      </c>
      <c r="F8" s="1071">
        <f>2*162</f>
        <v>324</v>
      </c>
      <c r="G8" s="1235">
        <f>1.15*F8</f>
        <v>372.59999999999997</v>
      </c>
      <c r="H8" s="883">
        <f>0.23*E8</f>
        <v>55.660000000000004</v>
      </c>
      <c r="I8" s="884">
        <f>0.5*1.1*H8</f>
        <v>30.613000000000003</v>
      </c>
      <c r="J8" s="500">
        <v>152</v>
      </c>
      <c r="K8" s="571">
        <v>15</v>
      </c>
      <c r="L8" s="882">
        <v>44</v>
      </c>
      <c r="M8" s="254" t="s">
        <v>111</v>
      </c>
      <c r="N8" s="254" t="s">
        <v>111</v>
      </c>
      <c r="O8" s="254" t="s">
        <v>111</v>
      </c>
      <c r="P8" s="254" t="s">
        <v>111</v>
      </c>
      <c r="Q8" s="885">
        <f>SUM(J8:P8)</f>
        <v>211</v>
      </c>
      <c r="R8" s="679">
        <f>2*Q8</f>
        <v>422</v>
      </c>
      <c r="S8" s="477">
        <f>R8+142</f>
        <v>564</v>
      </c>
      <c r="T8" s="662">
        <v>23</v>
      </c>
      <c r="U8" s="676">
        <v>24</v>
      </c>
      <c r="V8" s="676">
        <v>0</v>
      </c>
      <c r="W8" s="662">
        <v>0</v>
      </c>
      <c r="X8" s="665">
        <f>SUM(T8:W8)</f>
        <v>47</v>
      </c>
      <c r="Y8" s="683">
        <f>2*X8</f>
        <v>94</v>
      </c>
      <c r="Z8" s="490">
        <f>Y8+(23)</f>
        <v>117</v>
      </c>
      <c r="AA8" s="666">
        <f>Z8-H8</f>
        <v>61.339999999999996</v>
      </c>
      <c r="AB8" s="666">
        <f>Z8-I8</f>
        <v>86.387</v>
      </c>
      <c r="AC8" s="892">
        <v>48</v>
      </c>
      <c r="AD8" s="889">
        <f>33.89+(AC8*0.2095)</f>
        <v>43.945999999999998</v>
      </c>
      <c r="AE8" s="668">
        <f>X8-(U8)+AD8</f>
        <v>66.945999999999998</v>
      </c>
      <c r="AF8" s="681">
        <f>2*AE8</f>
        <v>133.892</v>
      </c>
      <c r="AG8" s="479">
        <f>AF8+(23)</f>
        <v>156.892</v>
      </c>
      <c r="AH8" s="472">
        <f>AG8-I8</f>
        <v>126.279</v>
      </c>
      <c r="AI8" s="1233" t="s">
        <v>388</v>
      </c>
      <c r="AJ8" s="1106">
        <v>53</v>
      </c>
      <c r="AK8" s="1240">
        <f>(2*AJ8)+(2*71)+(2*45)</f>
        <v>338</v>
      </c>
      <c r="AL8" s="1241">
        <f>S8-AK8</f>
        <v>226</v>
      </c>
      <c r="AM8" s="666" t="s">
        <v>113</v>
      </c>
      <c r="AN8" s="671">
        <f>324+23</f>
        <v>347</v>
      </c>
      <c r="AO8" s="472">
        <f>Z8-AN8</f>
        <v>-230</v>
      </c>
      <c r="AP8" s="669"/>
      <c r="AQ8" s="692" t="s">
        <v>792</v>
      </c>
      <c r="AR8" s="881">
        <f>H8</f>
        <v>55.660000000000004</v>
      </c>
      <c r="AS8" s="881">
        <f>Z8</f>
        <v>117</v>
      </c>
      <c r="AT8" s="881">
        <f>AN8</f>
        <v>347</v>
      </c>
      <c r="AU8" s="705">
        <f>S8-G8</f>
        <v>191.40000000000003</v>
      </c>
      <c r="AV8" s="705">
        <f>AL8</f>
        <v>226</v>
      </c>
      <c r="AW8" s="1274"/>
      <c r="BF8" s="983">
        <f>B8</f>
        <v>1</v>
      </c>
    </row>
    <row r="9" spans="1:58">
      <c r="A9" s="584">
        <f t="shared" ref="A9:B12" si="11">A8+1</f>
        <v>2</v>
      </c>
      <c r="B9" s="782">
        <f t="shared" si="11"/>
        <v>2</v>
      </c>
      <c r="C9" s="55" t="s">
        <v>1068</v>
      </c>
      <c r="D9" s="1069">
        <v>155</v>
      </c>
      <c r="E9" s="1164">
        <f>2*D9</f>
        <v>310</v>
      </c>
      <c r="F9" s="1164">
        <f>2*164</f>
        <v>328</v>
      </c>
      <c r="G9" s="1235">
        <f>1.15*F9</f>
        <v>377.2</v>
      </c>
      <c r="H9" s="883">
        <f>0.23*E9</f>
        <v>71.3</v>
      </c>
      <c r="I9" s="886">
        <f>0.5*1.1*H9</f>
        <v>39.215000000000003</v>
      </c>
      <c r="J9" s="500">
        <v>152</v>
      </c>
      <c r="K9" s="571">
        <v>15</v>
      </c>
      <c r="L9" s="571">
        <f>125-44</f>
        <v>81</v>
      </c>
      <c r="M9" s="254" t="s">
        <v>111</v>
      </c>
      <c r="N9" s="254" t="s">
        <v>111</v>
      </c>
      <c r="O9" s="254" t="s">
        <v>111</v>
      </c>
      <c r="P9" s="254" t="s">
        <v>111</v>
      </c>
      <c r="Q9" s="885">
        <f>SUM(J9:P9)</f>
        <v>248</v>
      </c>
      <c r="R9" s="679">
        <f>2*Q9</f>
        <v>496</v>
      </c>
      <c r="S9" s="477">
        <f>R9+142</f>
        <v>638</v>
      </c>
      <c r="T9" s="662">
        <v>23</v>
      </c>
      <c r="U9" s="676">
        <v>66</v>
      </c>
      <c r="V9" s="676">
        <v>0</v>
      </c>
      <c r="W9" s="662">
        <v>0</v>
      </c>
      <c r="X9" s="665">
        <f>SUM(T9:W9)</f>
        <v>89</v>
      </c>
      <c r="Y9" s="683">
        <f>2*X9</f>
        <v>178</v>
      </c>
      <c r="Z9" s="490">
        <f>Y9+(23)</f>
        <v>201</v>
      </c>
      <c r="AA9" s="666">
        <f>Z9-H9</f>
        <v>129.69999999999999</v>
      </c>
      <c r="AB9" s="666">
        <f>Z9-I9</f>
        <v>161.785</v>
      </c>
      <c r="AC9" s="1069">
        <f>199-48</f>
        <v>151</v>
      </c>
      <c r="AD9" s="889">
        <f t="shared" ref="AD9:AD12" si="12">33.89+(AC9*0.2095)</f>
        <v>65.524500000000003</v>
      </c>
      <c r="AE9" s="668">
        <f>X9-(U9)+AD9</f>
        <v>88.524500000000003</v>
      </c>
      <c r="AF9" s="681">
        <f>2*AE9</f>
        <v>177.04900000000001</v>
      </c>
      <c r="AG9" s="479">
        <f>AF9+(23)</f>
        <v>200.04900000000001</v>
      </c>
      <c r="AH9" s="472">
        <f>AG9-I9</f>
        <v>160.834</v>
      </c>
      <c r="AI9" s="1233" t="s">
        <v>389</v>
      </c>
      <c r="AJ9" s="1161">
        <v>219</v>
      </c>
      <c r="AK9" s="1240">
        <f>(2*AJ9)+(2*71)+(2*45)</f>
        <v>670</v>
      </c>
      <c r="AL9" s="1241">
        <f>S9-AK9</f>
        <v>-32</v>
      </c>
      <c r="AM9" s="666" t="s">
        <v>113</v>
      </c>
      <c r="AN9" s="480">
        <f>541+(1*23)</f>
        <v>564</v>
      </c>
      <c r="AO9" s="472">
        <f>Z9-AN9</f>
        <v>-363</v>
      </c>
      <c r="AP9" s="481"/>
      <c r="AQ9" s="566" t="s">
        <v>90</v>
      </c>
      <c r="AR9" s="881">
        <f t="shared" ref="AR9:AR12" si="13">H9</f>
        <v>71.3</v>
      </c>
      <c r="AS9" s="881">
        <f t="shared" ref="AS9:AS12" si="14">Z9</f>
        <v>201</v>
      </c>
      <c r="AT9" s="881">
        <f t="shared" ref="AT9:AT12" si="15">AN9</f>
        <v>564</v>
      </c>
      <c r="AU9" s="705">
        <f t="shared" ref="AU9:AU12" si="16">S9-G9</f>
        <v>260.8</v>
      </c>
      <c r="AV9" s="705">
        <f t="shared" ref="AV9:AV12" si="17">AL9</f>
        <v>-32</v>
      </c>
      <c r="AW9" s="1274"/>
      <c r="BF9" s="983">
        <f>B9</f>
        <v>2</v>
      </c>
    </row>
    <row r="10" spans="1:58">
      <c r="A10" s="584">
        <f t="shared" si="11"/>
        <v>3</v>
      </c>
      <c r="B10" s="782">
        <f t="shared" si="11"/>
        <v>3</v>
      </c>
      <c r="C10" s="55" t="s">
        <v>1069</v>
      </c>
      <c r="D10" s="1069">
        <v>185</v>
      </c>
      <c r="E10" s="1164">
        <f>2*D10</f>
        <v>370</v>
      </c>
      <c r="F10" s="1164">
        <f>2*175</f>
        <v>350</v>
      </c>
      <c r="G10" s="1235">
        <f>1.15*F10</f>
        <v>402.49999999999994</v>
      </c>
      <c r="H10" s="883">
        <f t="shared" ref="H10:H12" si="18">0.23*E10</f>
        <v>85.100000000000009</v>
      </c>
      <c r="I10" s="886">
        <f>0.5*1.1*H10</f>
        <v>46.805000000000007</v>
      </c>
      <c r="J10" s="500">
        <v>152</v>
      </c>
      <c r="K10" s="571">
        <v>15</v>
      </c>
      <c r="L10" s="571">
        <f>102-44</f>
        <v>58</v>
      </c>
      <c r="M10" s="571">
        <v>15</v>
      </c>
      <c r="N10" s="571">
        <v>240</v>
      </c>
      <c r="O10" s="254" t="s">
        <v>111</v>
      </c>
      <c r="P10" s="254" t="s">
        <v>111</v>
      </c>
      <c r="Q10" s="885">
        <f>SUM(J10:P10)</f>
        <v>480</v>
      </c>
      <c r="R10" s="679">
        <f>2*Q10</f>
        <v>960</v>
      </c>
      <c r="S10" s="477">
        <f>R10+142</f>
        <v>1102</v>
      </c>
      <c r="T10" s="662">
        <v>23</v>
      </c>
      <c r="U10" s="676">
        <v>62</v>
      </c>
      <c r="V10" s="676">
        <v>10</v>
      </c>
      <c r="W10" s="662">
        <v>0</v>
      </c>
      <c r="X10" s="665">
        <f>SUM(T10:W10)</f>
        <v>95</v>
      </c>
      <c r="Y10" s="683">
        <f>2*X10</f>
        <v>190</v>
      </c>
      <c r="Z10" s="490">
        <f>Y10+(23)</f>
        <v>213</v>
      </c>
      <c r="AA10" s="666">
        <f>Z10-H10</f>
        <v>127.89999999999999</v>
      </c>
      <c r="AB10" s="666">
        <f>Z10-I10</f>
        <v>166.19499999999999</v>
      </c>
      <c r="AC10" s="1069">
        <f>34+95</f>
        <v>129</v>
      </c>
      <c r="AD10" s="889">
        <f t="shared" si="12"/>
        <v>60.915499999999994</v>
      </c>
      <c r="AE10" s="668">
        <f>X10-(U10)+AD10</f>
        <v>93.915499999999994</v>
      </c>
      <c r="AF10" s="681">
        <f>2*AE10</f>
        <v>187.83099999999999</v>
      </c>
      <c r="AG10" s="479">
        <f>AF10+(23)</f>
        <v>210.83099999999999</v>
      </c>
      <c r="AH10" s="472">
        <f>AG10-I10</f>
        <v>164.02599999999998</v>
      </c>
      <c r="AI10" s="1233" t="s">
        <v>390</v>
      </c>
      <c r="AJ10" s="1161">
        <v>142</v>
      </c>
      <c r="AK10" s="1240">
        <f>(2*AJ10)+(2*71)+(2*45)</f>
        <v>516</v>
      </c>
      <c r="AL10" s="1241">
        <f>S10-AK10</f>
        <v>586</v>
      </c>
      <c r="AM10" s="666" t="s">
        <v>113</v>
      </c>
      <c r="AN10" s="480">
        <f>541+(1*23)</f>
        <v>564</v>
      </c>
      <c r="AO10" s="472">
        <f>Z10-AN10</f>
        <v>-351</v>
      </c>
      <c r="AP10" s="481"/>
      <c r="AQ10" s="566" t="s">
        <v>89</v>
      </c>
      <c r="AR10" s="881">
        <f t="shared" si="13"/>
        <v>85.100000000000009</v>
      </c>
      <c r="AS10" s="881">
        <f t="shared" si="14"/>
        <v>213</v>
      </c>
      <c r="AT10" s="881">
        <f t="shared" si="15"/>
        <v>564</v>
      </c>
      <c r="AU10" s="705">
        <f t="shared" si="16"/>
        <v>699.5</v>
      </c>
      <c r="AV10" s="705">
        <f t="shared" si="17"/>
        <v>586</v>
      </c>
      <c r="AW10" s="1274"/>
      <c r="BF10" s="983">
        <f>B10</f>
        <v>3</v>
      </c>
    </row>
    <row r="11" spans="1:58">
      <c r="A11" s="584">
        <f t="shared" si="11"/>
        <v>4</v>
      </c>
      <c r="B11" s="782">
        <f t="shared" si="11"/>
        <v>4</v>
      </c>
      <c r="C11" s="55" t="s">
        <v>1070</v>
      </c>
      <c r="D11" s="1069">
        <v>320</v>
      </c>
      <c r="E11" s="1164">
        <f>2*D11</f>
        <v>640</v>
      </c>
      <c r="F11" s="1164">
        <f>2*310</f>
        <v>620</v>
      </c>
      <c r="G11" s="1235">
        <f>1.15*F11</f>
        <v>713</v>
      </c>
      <c r="H11" s="883">
        <f>0.23*E11</f>
        <v>147.20000000000002</v>
      </c>
      <c r="I11" s="884">
        <f>0.5*1.1*H11</f>
        <v>80.960000000000022</v>
      </c>
      <c r="J11" s="500">
        <v>152</v>
      </c>
      <c r="K11" s="571">
        <v>15</v>
      </c>
      <c r="L11" s="571">
        <f>183-44</f>
        <v>139</v>
      </c>
      <c r="M11" s="571">
        <v>15</v>
      </c>
      <c r="N11" s="571">
        <v>160</v>
      </c>
      <c r="O11" s="254" t="s">
        <v>111</v>
      </c>
      <c r="P11" s="254" t="s">
        <v>111</v>
      </c>
      <c r="Q11" s="885">
        <f>SUM(J11:P11)</f>
        <v>481</v>
      </c>
      <c r="R11" s="679">
        <f>2*Q11</f>
        <v>962</v>
      </c>
      <c r="S11" s="477">
        <f>R11+142</f>
        <v>1104</v>
      </c>
      <c r="T11" s="662">
        <v>23</v>
      </c>
      <c r="U11" s="676">
        <v>87</v>
      </c>
      <c r="V11" s="676">
        <v>13</v>
      </c>
      <c r="W11" s="662">
        <v>0</v>
      </c>
      <c r="X11" s="665">
        <f>SUM(T11:W11)</f>
        <v>123</v>
      </c>
      <c r="Y11" s="683">
        <f>2*X11</f>
        <v>246</v>
      </c>
      <c r="Z11" s="490">
        <f>Y11+(23)</f>
        <v>269</v>
      </c>
      <c r="AA11" s="666">
        <f>Z11-H11</f>
        <v>121.79999999999998</v>
      </c>
      <c r="AB11" s="666">
        <f>Z11-I11</f>
        <v>188.03999999999996</v>
      </c>
      <c r="AC11" s="1069">
        <f>306-48</f>
        <v>258</v>
      </c>
      <c r="AD11" s="889">
        <f t="shared" si="12"/>
        <v>87.941000000000003</v>
      </c>
      <c r="AE11" s="668">
        <f>X11-(U11)+AD11</f>
        <v>123.941</v>
      </c>
      <c r="AF11" s="681">
        <f>2*AE11</f>
        <v>247.88200000000001</v>
      </c>
      <c r="AG11" s="479">
        <f>AF11+(23)</f>
        <v>270.88200000000001</v>
      </c>
      <c r="AH11" s="472">
        <f>AG11-I11</f>
        <v>189.92199999999997</v>
      </c>
      <c r="AI11" s="1233" t="s">
        <v>391</v>
      </c>
      <c r="AJ11" s="1161">
        <v>88</v>
      </c>
      <c r="AK11" s="1240">
        <f>(2*AJ11)+(2*71)+(2*45)</f>
        <v>408</v>
      </c>
      <c r="AL11" s="1241">
        <f>S11-AK11</f>
        <v>696</v>
      </c>
      <c r="AM11" s="666" t="s">
        <v>113</v>
      </c>
      <c r="AN11" s="480">
        <f>266+(1*23)</f>
        <v>289</v>
      </c>
      <c r="AO11" s="472">
        <f>Z11-AN11</f>
        <v>-20</v>
      </c>
      <c r="AP11" s="481"/>
      <c r="AQ11" s="7" t="s">
        <v>793</v>
      </c>
      <c r="AR11" s="706">
        <f t="shared" si="13"/>
        <v>147.20000000000002</v>
      </c>
      <c r="AS11" s="706">
        <f t="shared" si="14"/>
        <v>269</v>
      </c>
      <c r="AT11" s="706">
        <f t="shared" si="15"/>
        <v>289</v>
      </c>
      <c r="AU11" s="705">
        <f t="shared" si="16"/>
        <v>391</v>
      </c>
      <c r="AV11" s="705">
        <f t="shared" si="17"/>
        <v>696</v>
      </c>
      <c r="AW11" s="1274"/>
      <c r="BF11" s="983">
        <f>B11</f>
        <v>4</v>
      </c>
    </row>
    <row r="12" spans="1:58">
      <c r="A12" s="584">
        <f t="shared" si="11"/>
        <v>5</v>
      </c>
      <c r="B12" s="782">
        <f t="shared" si="11"/>
        <v>5</v>
      </c>
      <c r="C12" s="55" t="s">
        <v>1071</v>
      </c>
      <c r="D12" s="1069">
        <v>438</v>
      </c>
      <c r="E12" s="1164">
        <f>2*D12</f>
        <v>876</v>
      </c>
      <c r="F12" s="1164">
        <f>2*31</f>
        <v>62</v>
      </c>
      <c r="G12" s="1235">
        <f>1.15*F12</f>
        <v>71.3</v>
      </c>
      <c r="H12" s="883">
        <f t="shared" si="18"/>
        <v>201.48000000000002</v>
      </c>
      <c r="I12" s="886">
        <f>0.5*1.1*H12</f>
        <v>110.81400000000002</v>
      </c>
      <c r="J12" s="500">
        <v>152</v>
      </c>
      <c r="K12" s="571">
        <v>15</v>
      </c>
      <c r="L12" s="571">
        <f>183-44</f>
        <v>139</v>
      </c>
      <c r="M12" s="571">
        <v>15</v>
      </c>
      <c r="N12" s="571">
        <v>160</v>
      </c>
      <c r="O12" s="571">
        <v>30</v>
      </c>
      <c r="P12" s="571">
        <v>170</v>
      </c>
      <c r="Q12" s="885">
        <f>SUM(J12:P12)</f>
        <v>681</v>
      </c>
      <c r="R12" s="679">
        <f>2*Q12</f>
        <v>1362</v>
      </c>
      <c r="S12" s="477">
        <f>R12+142</f>
        <v>1504</v>
      </c>
      <c r="T12" s="662">
        <v>23</v>
      </c>
      <c r="U12" s="676">
        <v>87</v>
      </c>
      <c r="V12" s="676">
        <v>13</v>
      </c>
      <c r="W12" s="662">
        <v>35.65</v>
      </c>
      <c r="X12" s="665">
        <f>SUM(T12:W12)</f>
        <v>158.65</v>
      </c>
      <c r="Y12" s="683">
        <f>2*X12</f>
        <v>317.3</v>
      </c>
      <c r="Z12" s="490">
        <f>Y12+(23)</f>
        <v>340.3</v>
      </c>
      <c r="AA12" s="666">
        <f>Z12-H12</f>
        <v>138.82</v>
      </c>
      <c r="AB12" s="666">
        <f>Z12-I12</f>
        <v>229.48599999999999</v>
      </c>
      <c r="AC12" s="1069">
        <f>306-48</f>
        <v>258</v>
      </c>
      <c r="AD12" s="889">
        <f t="shared" si="12"/>
        <v>87.941000000000003</v>
      </c>
      <c r="AE12" s="668">
        <f>X12-(U12)+AD12</f>
        <v>159.59100000000001</v>
      </c>
      <c r="AF12" s="681">
        <f>2*AE12</f>
        <v>319.18200000000002</v>
      </c>
      <c r="AG12" s="479">
        <f>AF12+(23)</f>
        <v>342.18200000000002</v>
      </c>
      <c r="AH12" s="472">
        <f>AG12-I12</f>
        <v>231.36799999999999</v>
      </c>
      <c r="AI12" s="1233" t="s">
        <v>392</v>
      </c>
      <c r="AJ12" s="1161">
        <v>83</v>
      </c>
      <c r="AK12" s="1240">
        <f>(2*AJ12)+(2*71)+(2*45)</f>
        <v>398</v>
      </c>
      <c r="AL12" s="1241">
        <f>S12-AK12</f>
        <v>1106</v>
      </c>
      <c r="AM12" s="666" t="s">
        <v>113</v>
      </c>
      <c r="AN12" s="480">
        <f>340+(1*23)</f>
        <v>363</v>
      </c>
      <c r="AO12" s="472">
        <f>Z12-AN12</f>
        <v>-22.699999999999989</v>
      </c>
      <c r="AP12" s="481"/>
      <c r="AQ12" s="471" t="s">
        <v>91</v>
      </c>
      <c r="AR12" s="706">
        <f t="shared" si="13"/>
        <v>201.48000000000002</v>
      </c>
      <c r="AS12" s="706">
        <f t="shared" si="14"/>
        <v>340.3</v>
      </c>
      <c r="AT12" s="706">
        <f t="shared" si="15"/>
        <v>363</v>
      </c>
      <c r="AU12" s="705">
        <f t="shared" si="16"/>
        <v>1432.7</v>
      </c>
      <c r="AV12" s="705">
        <f t="shared" si="17"/>
        <v>1106</v>
      </c>
      <c r="AW12" s="1274"/>
      <c r="BF12" s="983">
        <f>B12</f>
        <v>5</v>
      </c>
    </row>
    <row r="13" spans="1:58" ht="301" customHeight="1">
      <c r="B13" s="464"/>
      <c r="C13" s="482"/>
      <c r="D13" s="1427" t="s">
        <v>1083</v>
      </c>
      <c r="E13" s="1365"/>
      <c r="F13" s="565" t="s">
        <v>1084</v>
      </c>
      <c r="G13" s="578" t="s">
        <v>1085</v>
      </c>
      <c r="H13" s="1210" t="s">
        <v>1086</v>
      </c>
      <c r="I13" s="843"/>
      <c r="J13" s="1208" t="s">
        <v>1087</v>
      </c>
      <c r="K13" s="1062" t="s">
        <v>1088</v>
      </c>
      <c r="L13" s="1209" t="s">
        <v>245</v>
      </c>
      <c r="M13" s="1062" t="s">
        <v>246</v>
      </c>
      <c r="N13" s="1209" t="s">
        <v>247</v>
      </c>
      <c r="O13" s="1209" t="s">
        <v>441</v>
      </c>
      <c r="P13" s="1209" t="s">
        <v>1090</v>
      </c>
      <c r="Q13" s="887"/>
      <c r="R13" s="677"/>
      <c r="S13" s="1038" t="s">
        <v>1159</v>
      </c>
      <c r="T13" s="483" t="s">
        <v>1087</v>
      </c>
      <c r="U13" s="1063" t="s">
        <v>130</v>
      </c>
      <c r="V13" s="1063" t="s">
        <v>1091</v>
      </c>
      <c r="W13" s="1063" t="s">
        <v>1092</v>
      </c>
      <c r="X13" s="484"/>
      <c r="Y13" s="132"/>
      <c r="Z13" s="1230" t="s">
        <v>1148</v>
      </c>
      <c r="AA13" s="58"/>
      <c r="AB13" s="1036" t="s">
        <v>220</v>
      </c>
      <c r="AC13" s="1207" t="s">
        <v>1093</v>
      </c>
      <c r="AD13" s="1021" t="s">
        <v>1094</v>
      </c>
      <c r="AE13" s="368"/>
      <c r="AF13" s="95"/>
      <c r="AG13" s="1230" t="s">
        <v>1148</v>
      </c>
      <c r="AH13" s="485"/>
      <c r="AI13" s="836"/>
      <c r="AJ13" s="1273" t="s">
        <v>1178</v>
      </c>
      <c r="AK13" s="1205" t="s">
        <v>1033</v>
      </c>
      <c r="AL13" s="36"/>
      <c r="AM13" s="36"/>
      <c r="AN13" s="540" t="s">
        <v>46</v>
      </c>
      <c r="AP13" s="465"/>
    </row>
    <row r="14" spans="1:58">
      <c r="AI14" s="837"/>
      <c r="AP14" s="465"/>
      <c r="AW14" s="1278"/>
    </row>
    <row r="15" spans="1:58">
      <c r="B15" s="960" t="s">
        <v>30</v>
      </c>
      <c r="C15" s="482"/>
      <c r="AI15" s="837"/>
      <c r="AP15" s="465"/>
    </row>
    <row r="16" spans="1:58" s="1122" customFormat="1" ht="30" customHeight="1">
      <c r="C16" s="1117" t="s">
        <v>93</v>
      </c>
      <c r="D16" s="1678" t="s">
        <v>39</v>
      </c>
      <c r="E16" s="1679"/>
      <c r="F16" s="1679"/>
      <c r="G16" s="1679"/>
      <c r="H16" s="1679"/>
      <c r="I16" s="1680"/>
      <c r="J16" s="1523" t="s">
        <v>104</v>
      </c>
      <c r="K16" s="1448"/>
      <c r="L16" s="1653"/>
      <c r="M16" s="1653"/>
      <c r="N16" s="1653"/>
      <c r="O16" s="1653"/>
      <c r="P16" s="1653"/>
      <c r="Q16" s="1653"/>
      <c r="R16" s="1432" t="s">
        <v>22</v>
      </c>
      <c r="S16" s="1433"/>
      <c r="T16" s="1409" t="s">
        <v>136</v>
      </c>
      <c r="U16" s="1410"/>
      <c r="V16" s="1410"/>
      <c r="W16" s="1410"/>
      <c r="X16" s="1410"/>
      <c r="Y16" s="1411" t="s">
        <v>133</v>
      </c>
      <c r="Z16" s="1651"/>
      <c r="AA16" s="1124"/>
      <c r="AB16" s="1130"/>
      <c r="AC16" s="1646" t="s">
        <v>101</v>
      </c>
      <c r="AD16" s="1646"/>
      <c r="AE16" s="1646"/>
      <c r="AF16" s="1584" t="s">
        <v>23</v>
      </c>
      <c r="AG16" s="1585"/>
      <c r="AH16" s="1118"/>
      <c r="AI16" s="1454" t="s">
        <v>25</v>
      </c>
      <c r="AJ16" s="1435"/>
      <c r="AK16" s="1435"/>
      <c r="AL16" s="1435"/>
      <c r="AM16" s="1435"/>
      <c r="AN16" s="1699"/>
      <c r="AO16" s="1120"/>
      <c r="AP16" s="1125"/>
      <c r="AV16" s="1317" t="s">
        <v>82</v>
      </c>
    </row>
    <row r="17" spans="1:58">
      <c r="B17" s="464"/>
      <c r="C17" s="505"/>
      <c r="D17" s="173">
        <v>1</v>
      </c>
      <c r="E17" s="134">
        <f>D17+1</f>
        <v>2</v>
      </c>
      <c r="F17" s="134">
        <f>E17+1</f>
        <v>3</v>
      </c>
      <c r="G17" s="134">
        <f t="shared" ref="G17:AO17" si="19">F17+1</f>
        <v>4</v>
      </c>
      <c r="H17" s="134">
        <f t="shared" si="19"/>
        <v>5</v>
      </c>
      <c r="I17" s="133">
        <f t="shared" si="19"/>
        <v>6</v>
      </c>
      <c r="J17" s="134">
        <f t="shared" si="19"/>
        <v>7</v>
      </c>
      <c r="K17" s="134">
        <f t="shared" ref="K17" si="20">J17+1</f>
        <v>8</v>
      </c>
      <c r="L17" s="134">
        <f t="shared" ref="L17" si="21">K17+1</f>
        <v>9</v>
      </c>
      <c r="M17" s="134">
        <f t="shared" si="19"/>
        <v>10</v>
      </c>
      <c r="N17" s="134">
        <f t="shared" si="19"/>
        <v>11</v>
      </c>
      <c r="O17" s="134">
        <f t="shared" si="19"/>
        <v>12</v>
      </c>
      <c r="P17" s="134">
        <f t="shared" si="19"/>
        <v>13</v>
      </c>
      <c r="Q17" s="134">
        <f t="shared" si="19"/>
        <v>14</v>
      </c>
      <c r="R17" s="173">
        <f t="shared" si="19"/>
        <v>15</v>
      </c>
      <c r="S17" s="133">
        <f t="shared" si="19"/>
        <v>16</v>
      </c>
      <c r="T17" s="173">
        <f t="shared" si="19"/>
        <v>17</v>
      </c>
      <c r="U17" s="134">
        <f t="shared" si="19"/>
        <v>18</v>
      </c>
      <c r="V17" s="134">
        <f t="shared" si="19"/>
        <v>19</v>
      </c>
      <c r="W17" s="364">
        <f t="shared" si="19"/>
        <v>20</v>
      </c>
      <c r="X17" s="133">
        <f t="shared" si="19"/>
        <v>21</v>
      </c>
      <c r="Y17" s="364">
        <f t="shared" si="19"/>
        <v>22</v>
      </c>
      <c r="Z17" s="364">
        <f t="shared" si="19"/>
        <v>23</v>
      </c>
      <c r="AA17" s="151">
        <f t="shared" si="19"/>
        <v>24</v>
      </c>
      <c r="AB17" s="365">
        <f t="shared" si="19"/>
        <v>25</v>
      </c>
      <c r="AC17" s="364">
        <f t="shared" si="19"/>
        <v>26</v>
      </c>
      <c r="AD17" s="364">
        <f t="shared" si="19"/>
        <v>27</v>
      </c>
      <c r="AE17" s="364">
        <f t="shared" si="19"/>
        <v>28</v>
      </c>
      <c r="AF17" s="151">
        <f t="shared" ref="AF17" si="22">AE17+1</f>
        <v>29</v>
      </c>
      <c r="AG17" s="365">
        <f t="shared" ref="AG17" si="23">AF17+1</f>
        <v>30</v>
      </c>
      <c r="AH17" s="134">
        <f t="shared" si="19"/>
        <v>31</v>
      </c>
      <c r="AI17" s="173">
        <f>AH17+1</f>
        <v>32</v>
      </c>
      <c r="AJ17" s="134">
        <f>AI17+1</f>
        <v>33</v>
      </c>
      <c r="AK17" s="134">
        <f t="shared" si="19"/>
        <v>34</v>
      </c>
      <c r="AL17" s="134">
        <f t="shared" si="19"/>
        <v>35</v>
      </c>
      <c r="AM17" s="134">
        <f>AL17+1</f>
        <v>36</v>
      </c>
      <c r="AN17" s="133">
        <f>AM17+1</f>
        <v>37</v>
      </c>
      <c r="AO17" s="133">
        <f t="shared" si="19"/>
        <v>38</v>
      </c>
      <c r="AP17" s="468"/>
    </row>
    <row r="18" spans="1:58" ht="131" customHeight="1">
      <c r="B18" s="464"/>
      <c r="C18" s="761" t="s">
        <v>1095</v>
      </c>
      <c r="D18" s="1023" t="s">
        <v>442</v>
      </c>
      <c r="E18" s="1024" t="s">
        <v>443</v>
      </c>
      <c r="F18" s="1024" t="s">
        <v>407</v>
      </c>
      <c r="G18" s="1025" t="s">
        <v>408</v>
      </c>
      <c r="H18" s="418" t="s">
        <v>409</v>
      </c>
      <c r="I18" s="418" t="s">
        <v>410</v>
      </c>
      <c r="J18" s="1087" t="s">
        <v>444</v>
      </c>
      <c r="K18" s="1054" t="s">
        <v>445</v>
      </c>
      <c r="L18" s="1054" t="s">
        <v>1098</v>
      </c>
      <c r="M18" s="1242" t="s">
        <v>1179</v>
      </c>
      <c r="N18" s="1054" t="s">
        <v>1180</v>
      </c>
      <c r="O18" s="1054" t="s">
        <v>446</v>
      </c>
      <c r="P18" s="1149" t="s">
        <v>1182</v>
      </c>
      <c r="Q18" s="1104" t="s">
        <v>418</v>
      </c>
      <c r="R18" s="488" t="s">
        <v>447</v>
      </c>
      <c r="S18" s="322" t="s">
        <v>448</v>
      </c>
      <c r="T18" s="1030" t="s">
        <v>449</v>
      </c>
      <c r="U18" s="819" t="s">
        <v>450</v>
      </c>
      <c r="V18" s="819" t="s">
        <v>451</v>
      </c>
      <c r="W18" s="819" t="s">
        <v>452</v>
      </c>
      <c r="X18" s="1156" t="s">
        <v>453</v>
      </c>
      <c r="Y18" s="175" t="s">
        <v>425</v>
      </c>
      <c r="Z18" s="545" t="s">
        <v>426</v>
      </c>
      <c r="AA18" s="819" t="s">
        <v>427</v>
      </c>
      <c r="AB18" s="819" t="s">
        <v>428</v>
      </c>
      <c r="AC18" s="1026" t="s">
        <v>429</v>
      </c>
      <c r="AD18" s="819" t="s">
        <v>454</v>
      </c>
      <c r="AE18" s="819" t="s">
        <v>455</v>
      </c>
      <c r="AF18" s="154" t="s">
        <v>432</v>
      </c>
      <c r="AG18" s="898" t="s">
        <v>433</v>
      </c>
      <c r="AH18" s="1243" t="s">
        <v>434</v>
      </c>
      <c r="AI18" s="1025" t="s">
        <v>346</v>
      </c>
      <c r="AJ18" s="1032" t="s">
        <v>435</v>
      </c>
      <c r="AK18" s="1239" t="s">
        <v>0</v>
      </c>
      <c r="AL18" s="1112" t="s">
        <v>27</v>
      </c>
      <c r="AM18" s="819" t="s">
        <v>402</v>
      </c>
      <c r="AN18" s="820" t="s">
        <v>343</v>
      </c>
      <c r="AO18" s="470" t="s">
        <v>436</v>
      </c>
      <c r="AP18" s="446"/>
      <c r="AQ18" s="880" t="s">
        <v>456</v>
      </c>
      <c r="AR18" s="418" t="s">
        <v>438</v>
      </c>
      <c r="AS18" s="418" t="s">
        <v>439</v>
      </c>
      <c r="AT18" s="361" t="s">
        <v>440</v>
      </c>
      <c r="AU18" s="861" t="s">
        <v>403</v>
      </c>
      <c r="AV18" s="861" t="s">
        <v>746</v>
      </c>
      <c r="AW18" s="1111"/>
      <c r="BF18" s="978" t="s">
        <v>779</v>
      </c>
    </row>
    <row r="19" spans="1:58" s="672" customFormat="1" ht="15" customHeight="1">
      <c r="A19" s="810">
        <f>A12+1</f>
        <v>6</v>
      </c>
      <c r="B19" s="807">
        <f>B12+1</f>
        <v>6</v>
      </c>
      <c r="C19" s="674" t="s">
        <v>1072</v>
      </c>
      <c r="D19" s="617">
        <v>95</v>
      </c>
      <c r="E19" s="673">
        <f>2*D19</f>
        <v>190</v>
      </c>
      <c r="F19" s="673">
        <v>105</v>
      </c>
      <c r="G19" s="1245">
        <f>1.15*F19</f>
        <v>120.74999999999999</v>
      </c>
      <c r="H19" s="884">
        <f>0.23*E19</f>
        <v>43.7</v>
      </c>
      <c r="I19" s="884">
        <f>0.5*1.1*H19</f>
        <v>24.035000000000004</v>
      </c>
      <c r="J19" s="892">
        <v>125</v>
      </c>
      <c r="K19" s="571" t="s">
        <v>113</v>
      </c>
      <c r="L19" s="571" t="s">
        <v>113</v>
      </c>
      <c r="M19" s="571" t="s">
        <v>113</v>
      </c>
      <c r="N19" s="571" t="s">
        <v>113</v>
      </c>
      <c r="O19" s="571" t="s">
        <v>113</v>
      </c>
      <c r="P19" s="571" t="s">
        <v>113</v>
      </c>
      <c r="Q19" s="885">
        <f>SUM(J19:P19)</f>
        <v>125</v>
      </c>
      <c r="R19" s="679">
        <f>2*Q19</f>
        <v>250</v>
      </c>
      <c r="S19" s="476">
        <f>R19+(2*71)</f>
        <v>392</v>
      </c>
      <c r="T19" s="895">
        <v>14</v>
      </c>
      <c r="U19" s="675">
        <v>0</v>
      </c>
      <c r="V19" s="675">
        <v>0</v>
      </c>
      <c r="W19" s="675">
        <v>0</v>
      </c>
      <c r="X19" s="668">
        <f>SUM(T19:W19)</f>
        <v>14</v>
      </c>
      <c r="Y19" s="683">
        <f>2*X19</f>
        <v>28</v>
      </c>
      <c r="Z19" s="487">
        <f>Y19+(23)</f>
        <v>51</v>
      </c>
      <c r="AA19" s="896">
        <f>Z19-H19</f>
        <v>7.2999999999999972</v>
      </c>
      <c r="AB19" s="668">
        <f>Z19-I19</f>
        <v>26.964999999999996</v>
      </c>
      <c r="AC19" s="897">
        <v>0</v>
      </c>
      <c r="AD19" s="676">
        <v>0</v>
      </c>
      <c r="AE19" s="675">
        <f>X19-(V19)+AD19</f>
        <v>14</v>
      </c>
      <c r="AF19" s="682">
        <f>2*AE19</f>
        <v>28</v>
      </c>
      <c r="AG19" s="899">
        <f>AF19+(23)</f>
        <v>51</v>
      </c>
      <c r="AH19" s="900">
        <f>AG19-I19</f>
        <v>26.964999999999996</v>
      </c>
      <c r="AI19" s="839" t="s">
        <v>383</v>
      </c>
      <c r="AJ19" s="673">
        <v>56</v>
      </c>
      <c r="AK19" s="1161">
        <f>(2*AJ19)+(2*71)+(2*45)</f>
        <v>344</v>
      </c>
      <c r="AL19" s="1244">
        <f>S19-AK19</f>
        <v>48</v>
      </c>
      <c r="AM19" s="666" t="s">
        <v>113</v>
      </c>
      <c r="AN19" s="826">
        <f>345+(1*23)</f>
        <v>368</v>
      </c>
      <c r="AO19" s="472">
        <f>Z19-AN19</f>
        <v>-317</v>
      </c>
      <c r="AP19" s="446"/>
      <c r="AQ19" s="692" t="s">
        <v>763</v>
      </c>
      <c r="AR19" s="881">
        <f>H19</f>
        <v>43.7</v>
      </c>
      <c r="AS19" s="881">
        <f>Z19</f>
        <v>51</v>
      </c>
      <c r="AT19" s="881">
        <f>AN19</f>
        <v>368</v>
      </c>
      <c r="AU19" s="701">
        <f>S19-G19</f>
        <v>271.25</v>
      </c>
      <c r="AV19" s="705">
        <f>AL19</f>
        <v>48</v>
      </c>
      <c r="AW19" s="1274"/>
      <c r="BF19" s="984">
        <f>B19</f>
        <v>6</v>
      </c>
    </row>
    <row r="20" spans="1:58">
      <c r="A20" s="584">
        <f>A19+1</f>
        <v>7</v>
      </c>
      <c r="B20" s="808">
        <f>B19+1</f>
        <v>7</v>
      </c>
      <c r="C20" s="7" t="s">
        <v>1073</v>
      </c>
      <c r="D20" s="1160">
        <v>235</v>
      </c>
      <c r="E20" s="1161">
        <f>2*D20</f>
        <v>470</v>
      </c>
      <c r="F20" s="1161">
        <f>2*237</f>
        <v>474</v>
      </c>
      <c r="G20" s="1245">
        <f>1.15*F20</f>
        <v>545.09999999999991</v>
      </c>
      <c r="H20" s="884">
        <f t="shared" ref="H20:H22" si="24">0.23*E20</f>
        <v>108.10000000000001</v>
      </c>
      <c r="I20" s="826">
        <f>0.5*1.1*H20</f>
        <v>59.455000000000013</v>
      </c>
      <c r="J20" s="892">
        <v>125</v>
      </c>
      <c r="K20" s="893">
        <v>15</v>
      </c>
      <c r="L20" s="571">
        <f>160+15</f>
        <v>175</v>
      </c>
      <c r="M20" s="254">
        <f>183-44</f>
        <v>139</v>
      </c>
      <c r="N20" s="571">
        <v>60</v>
      </c>
      <c r="O20" s="571">
        <v>152</v>
      </c>
      <c r="P20" s="571" t="s">
        <v>113</v>
      </c>
      <c r="Q20" s="885">
        <f>SUM(J20:P20)</f>
        <v>666</v>
      </c>
      <c r="R20" s="679">
        <f>2*Q20</f>
        <v>1332</v>
      </c>
      <c r="S20" s="476">
        <f>R20+(2*71)</f>
        <v>1474</v>
      </c>
      <c r="T20" s="895">
        <v>14</v>
      </c>
      <c r="U20" s="675">
        <v>13</v>
      </c>
      <c r="V20" s="675">
        <v>87</v>
      </c>
      <c r="W20" s="675">
        <v>23</v>
      </c>
      <c r="X20" s="668">
        <f>SUM(T20:W20)</f>
        <v>137</v>
      </c>
      <c r="Y20" s="683">
        <f>2*X20</f>
        <v>274</v>
      </c>
      <c r="Z20" s="487">
        <f>Y20+(23)</f>
        <v>297</v>
      </c>
      <c r="AA20" s="896">
        <f>Z20-H20</f>
        <v>188.89999999999998</v>
      </c>
      <c r="AB20" s="889">
        <f>Z20-I20</f>
        <v>237.54499999999999</v>
      </c>
      <c r="AC20" s="500">
        <f>306-48</f>
        <v>258</v>
      </c>
      <c r="AD20" s="889">
        <f t="shared" ref="AD20:AD23" si="25">33.89+(AC20*0.2095)</f>
        <v>87.941000000000003</v>
      </c>
      <c r="AE20" s="675">
        <f>X20-(V20)+AD20</f>
        <v>137.941</v>
      </c>
      <c r="AF20" s="682">
        <f>2*AE20</f>
        <v>275.88200000000001</v>
      </c>
      <c r="AG20" s="899">
        <f>AF20+(23)</f>
        <v>298.88200000000001</v>
      </c>
      <c r="AH20" s="900">
        <f>AG20-I20</f>
        <v>239.42699999999999</v>
      </c>
      <c r="AI20" s="839" t="s">
        <v>384</v>
      </c>
      <c r="AJ20" s="1070">
        <v>188</v>
      </c>
      <c r="AK20" s="1161">
        <f>(2*AJ20)+(2*71)+(2*45)</f>
        <v>608</v>
      </c>
      <c r="AL20" s="1244">
        <f>S20-AK20</f>
        <v>866</v>
      </c>
      <c r="AM20" s="666" t="s">
        <v>113</v>
      </c>
      <c r="AN20" s="480">
        <f>544+(1*23)</f>
        <v>567</v>
      </c>
      <c r="AO20" s="472">
        <f>Z20-AN20</f>
        <v>-270</v>
      </c>
      <c r="AP20" s="481"/>
      <c r="AQ20" s="55" t="s">
        <v>280</v>
      </c>
      <c r="AR20" s="881">
        <f t="shared" ref="AR20:AR23" si="26">H20</f>
        <v>108.10000000000001</v>
      </c>
      <c r="AS20" s="881">
        <f t="shared" ref="AS20:AS23" si="27">Z20</f>
        <v>297</v>
      </c>
      <c r="AT20" s="881">
        <f t="shared" ref="AT20:AT23" si="28">AN20</f>
        <v>567</v>
      </c>
      <c r="AU20" s="701">
        <f t="shared" ref="AU20:AU23" si="29">S20-G20</f>
        <v>928.90000000000009</v>
      </c>
      <c r="AV20" s="705">
        <f t="shared" ref="AV20:AV23" si="30">AL20</f>
        <v>866</v>
      </c>
      <c r="AW20" s="1274"/>
      <c r="BF20" s="984">
        <f>B20</f>
        <v>7</v>
      </c>
    </row>
    <row r="21" spans="1:58">
      <c r="A21" s="584">
        <f t="shared" ref="A21:B23" si="31">A20+1</f>
        <v>8</v>
      </c>
      <c r="B21" s="808">
        <f t="shared" si="31"/>
        <v>8</v>
      </c>
      <c r="C21" s="7" t="s">
        <v>1074</v>
      </c>
      <c r="D21" s="1160">
        <v>218</v>
      </c>
      <c r="E21" s="1161">
        <f>2*D21</f>
        <v>436</v>
      </c>
      <c r="F21" s="1161">
        <f>2*221</f>
        <v>442</v>
      </c>
      <c r="G21" s="1245">
        <f>1.15*F21</f>
        <v>508.29999999999995</v>
      </c>
      <c r="H21" s="884">
        <f>0.23*E21</f>
        <v>100.28</v>
      </c>
      <c r="I21" s="826">
        <f>0.5*1.1*H21</f>
        <v>55.154000000000003</v>
      </c>
      <c r="J21" s="892">
        <v>125</v>
      </c>
      <c r="K21" s="571" t="s">
        <v>113</v>
      </c>
      <c r="L21" s="571" t="s">
        <v>113</v>
      </c>
      <c r="M21" s="571" t="s">
        <v>113</v>
      </c>
      <c r="N21" s="571">
        <v>30</v>
      </c>
      <c r="O21" s="571">
        <v>170</v>
      </c>
      <c r="P21" s="571" t="s">
        <v>113</v>
      </c>
      <c r="Q21" s="885">
        <f>SUM(J21:P21)</f>
        <v>325</v>
      </c>
      <c r="R21" s="679">
        <f>2*Q21</f>
        <v>650</v>
      </c>
      <c r="S21" s="476">
        <f>R21+(2*71)</f>
        <v>792</v>
      </c>
      <c r="T21" s="895">
        <v>14</v>
      </c>
      <c r="U21" s="675">
        <v>37</v>
      </c>
      <c r="V21" s="675">
        <v>0</v>
      </c>
      <c r="W21" s="675">
        <v>0</v>
      </c>
      <c r="X21" s="668">
        <f>SUM(T21:W21)</f>
        <v>51</v>
      </c>
      <c r="Y21" s="683">
        <f>2*X21</f>
        <v>102</v>
      </c>
      <c r="Z21" s="487">
        <f>Y21+(23)</f>
        <v>125</v>
      </c>
      <c r="AA21" s="896">
        <f>Z21-H21</f>
        <v>24.72</v>
      </c>
      <c r="AB21" s="889">
        <f>Z21-I21</f>
        <v>69.846000000000004</v>
      </c>
      <c r="AC21" s="500">
        <v>0</v>
      </c>
      <c r="AD21" s="889">
        <f t="shared" si="25"/>
        <v>33.89</v>
      </c>
      <c r="AE21" s="675">
        <f>X21-(V21)+AD21</f>
        <v>84.89</v>
      </c>
      <c r="AF21" s="682">
        <f>2*AE21</f>
        <v>169.78</v>
      </c>
      <c r="AG21" s="899">
        <f>AF21+(23)</f>
        <v>192.78</v>
      </c>
      <c r="AH21" s="900">
        <f>AG21-I21</f>
        <v>137.626</v>
      </c>
      <c r="AI21" s="839" t="s">
        <v>385</v>
      </c>
      <c r="AJ21" s="1070">
        <v>158</v>
      </c>
      <c r="AK21" s="1161">
        <f>(2*AJ21)+(2*71)+(2*45)</f>
        <v>548</v>
      </c>
      <c r="AL21" s="1244">
        <f>S21-AK21</f>
        <v>244</v>
      </c>
      <c r="AM21" s="666" t="s">
        <v>113</v>
      </c>
      <c r="AN21" s="480">
        <f>531+(1*23)</f>
        <v>554</v>
      </c>
      <c r="AO21" s="472">
        <f>Z21-AN21</f>
        <v>-429</v>
      </c>
      <c r="AP21" s="481"/>
      <c r="AQ21" s="55" t="s">
        <v>281</v>
      </c>
      <c r="AR21" s="881">
        <f t="shared" si="26"/>
        <v>100.28</v>
      </c>
      <c r="AS21" s="881">
        <f t="shared" si="27"/>
        <v>125</v>
      </c>
      <c r="AT21" s="881">
        <f t="shared" si="28"/>
        <v>554</v>
      </c>
      <c r="AU21" s="701">
        <f t="shared" si="29"/>
        <v>283.70000000000005</v>
      </c>
      <c r="AV21" s="705">
        <f t="shared" si="30"/>
        <v>244</v>
      </c>
      <c r="AW21" s="1274"/>
      <c r="BF21" s="984">
        <f>B21</f>
        <v>8</v>
      </c>
    </row>
    <row r="22" spans="1:58">
      <c r="A22" s="584">
        <f t="shared" si="31"/>
        <v>9</v>
      </c>
      <c r="B22" s="808">
        <f t="shared" si="31"/>
        <v>9</v>
      </c>
      <c r="C22" s="7" t="s">
        <v>1075</v>
      </c>
      <c r="D22" s="1160">
        <v>254</v>
      </c>
      <c r="E22" s="1161">
        <f>2*D22</f>
        <v>508</v>
      </c>
      <c r="F22" s="1161">
        <f>2*231</f>
        <v>462</v>
      </c>
      <c r="G22" s="1245">
        <f>1.15*F22</f>
        <v>531.29999999999995</v>
      </c>
      <c r="H22" s="884">
        <f t="shared" si="24"/>
        <v>116.84</v>
      </c>
      <c r="I22" s="826">
        <f>0.5*1.1*H22</f>
        <v>64.262</v>
      </c>
      <c r="J22" s="892">
        <v>125</v>
      </c>
      <c r="K22" s="893">
        <v>15</v>
      </c>
      <c r="L22" s="571">
        <f t="shared" ref="L22:L23" si="32">160+15</f>
        <v>175</v>
      </c>
      <c r="M22" s="571">
        <f>183-125</f>
        <v>58</v>
      </c>
      <c r="N22" s="571" t="s">
        <v>113</v>
      </c>
      <c r="O22" s="571" t="s">
        <v>113</v>
      </c>
      <c r="P22" s="571" t="s">
        <v>113</v>
      </c>
      <c r="Q22" s="885">
        <f>SUM(J22:P22)</f>
        <v>373</v>
      </c>
      <c r="R22" s="679">
        <f>2*Q22</f>
        <v>746</v>
      </c>
      <c r="S22" s="476">
        <f>R22+(2*71)</f>
        <v>888</v>
      </c>
      <c r="T22" s="895">
        <v>14</v>
      </c>
      <c r="U22" s="675">
        <v>13</v>
      </c>
      <c r="V22" s="675">
        <v>59</v>
      </c>
      <c r="W22" s="675">
        <v>0</v>
      </c>
      <c r="X22" s="668">
        <f>SUM(T22:W22)</f>
        <v>86</v>
      </c>
      <c r="Y22" s="683">
        <f>2*X22</f>
        <v>172</v>
      </c>
      <c r="Z22" s="487">
        <f>Y22+(23)</f>
        <v>195</v>
      </c>
      <c r="AA22" s="896">
        <f>Z22-H22</f>
        <v>78.16</v>
      </c>
      <c r="AB22" s="889">
        <f>Z22-I22</f>
        <v>130.738</v>
      </c>
      <c r="AC22" s="500">
        <f>306-199</f>
        <v>107</v>
      </c>
      <c r="AD22" s="889">
        <f t="shared" si="25"/>
        <v>56.3065</v>
      </c>
      <c r="AE22" s="675">
        <f>X22-(V22)+AD22</f>
        <v>83.3065</v>
      </c>
      <c r="AF22" s="682">
        <f>2*AE22</f>
        <v>166.613</v>
      </c>
      <c r="AG22" s="899">
        <f>AF22+(23)</f>
        <v>189.613</v>
      </c>
      <c r="AH22" s="900">
        <f>AG22-I22</f>
        <v>125.351</v>
      </c>
      <c r="AI22" s="839" t="s">
        <v>386</v>
      </c>
      <c r="AJ22" s="1070">
        <v>228</v>
      </c>
      <c r="AK22" s="1161">
        <f>(2*AJ22)+(2*71)+(2*45)</f>
        <v>688</v>
      </c>
      <c r="AL22" s="1244">
        <f>S22-AK22</f>
        <v>200</v>
      </c>
      <c r="AM22" s="666" t="s">
        <v>113</v>
      </c>
      <c r="AN22" s="480">
        <f>523+(1*23)</f>
        <v>546</v>
      </c>
      <c r="AO22" s="472">
        <f>Z22-AN22</f>
        <v>-351</v>
      </c>
      <c r="AP22" s="481"/>
      <c r="AQ22" s="7" t="s">
        <v>282</v>
      </c>
      <c r="AR22" s="706">
        <f t="shared" si="26"/>
        <v>116.84</v>
      </c>
      <c r="AS22" s="706">
        <f t="shared" si="27"/>
        <v>195</v>
      </c>
      <c r="AT22" s="706">
        <f t="shared" si="28"/>
        <v>546</v>
      </c>
      <c r="AU22" s="705">
        <f t="shared" si="29"/>
        <v>356.70000000000005</v>
      </c>
      <c r="AV22" s="705">
        <f t="shared" si="30"/>
        <v>200</v>
      </c>
      <c r="AW22" s="1274"/>
      <c r="BF22" s="984">
        <f>B22</f>
        <v>9</v>
      </c>
    </row>
    <row r="23" spans="1:58">
      <c r="A23" s="584">
        <f t="shared" si="31"/>
        <v>10</v>
      </c>
      <c r="B23" s="808">
        <f t="shared" si="31"/>
        <v>10</v>
      </c>
      <c r="C23" s="7" t="s">
        <v>1076</v>
      </c>
      <c r="D23" s="1160">
        <v>386</v>
      </c>
      <c r="E23" s="1161">
        <f>2*D23</f>
        <v>772</v>
      </c>
      <c r="F23" s="1161">
        <f>2*361</f>
        <v>722</v>
      </c>
      <c r="G23" s="1245">
        <f>1.15*F23</f>
        <v>830.3</v>
      </c>
      <c r="H23" s="884">
        <f>0.23*E23</f>
        <v>177.56</v>
      </c>
      <c r="I23" s="826">
        <f>0.5*1.1*H23</f>
        <v>97.658000000000015</v>
      </c>
      <c r="J23" s="892">
        <v>125</v>
      </c>
      <c r="K23" s="893">
        <v>15</v>
      </c>
      <c r="L23" s="571">
        <f t="shared" si="32"/>
        <v>175</v>
      </c>
      <c r="M23" s="571">
        <f>183-102</f>
        <v>81</v>
      </c>
      <c r="N23" s="571">
        <v>15</v>
      </c>
      <c r="O23" s="571">
        <v>240</v>
      </c>
      <c r="P23" s="571" t="s">
        <v>113</v>
      </c>
      <c r="Q23" s="885">
        <f>SUM(J23:P23)</f>
        <v>651</v>
      </c>
      <c r="R23" s="679">
        <f>2*Q23</f>
        <v>1302</v>
      </c>
      <c r="S23" s="476">
        <f>R23+(2*71)</f>
        <v>1444</v>
      </c>
      <c r="T23" s="895">
        <v>14</v>
      </c>
      <c r="U23" s="675">
        <v>13</v>
      </c>
      <c r="V23" s="675">
        <v>64</v>
      </c>
      <c r="W23" s="675">
        <v>10</v>
      </c>
      <c r="X23" s="668">
        <f>SUM(T23:W23)</f>
        <v>101</v>
      </c>
      <c r="Y23" s="683">
        <f>2*X23</f>
        <v>202</v>
      </c>
      <c r="Z23" s="487">
        <f>Y23+(23)</f>
        <v>225</v>
      </c>
      <c r="AA23" s="896">
        <f>Z23-H23</f>
        <v>47.44</v>
      </c>
      <c r="AB23" s="889">
        <f>Z23-I23</f>
        <v>127.34199999999998</v>
      </c>
      <c r="AC23" s="500">
        <f>306-199+30</f>
        <v>137</v>
      </c>
      <c r="AD23" s="889">
        <f t="shared" si="25"/>
        <v>62.591499999999996</v>
      </c>
      <c r="AE23" s="675">
        <f>X23-(V23)+AD23</f>
        <v>99.591499999999996</v>
      </c>
      <c r="AF23" s="682">
        <f>2*AE23</f>
        <v>199.18299999999999</v>
      </c>
      <c r="AG23" s="899">
        <f>AF23+(23)</f>
        <v>222.18299999999999</v>
      </c>
      <c r="AH23" s="900">
        <f>AG23-I23</f>
        <v>124.52499999999998</v>
      </c>
      <c r="AI23" s="839" t="s">
        <v>387</v>
      </c>
      <c r="AJ23" s="1070">
        <v>277</v>
      </c>
      <c r="AK23" s="1161">
        <f>(2*AJ23)+(2*71)+(2*45)</f>
        <v>786</v>
      </c>
      <c r="AL23" s="1244">
        <f>S23-AK23</f>
        <v>658</v>
      </c>
      <c r="AM23" s="666" t="s">
        <v>113</v>
      </c>
      <c r="AN23" s="480">
        <f>520+(1*23)</f>
        <v>543</v>
      </c>
      <c r="AO23" s="472">
        <f>Z23-AN23</f>
        <v>-318</v>
      </c>
      <c r="AP23" s="481"/>
      <c r="AQ23" s="7" t="s">
        <v>279</v>
      </c>
      <c r="AR23" s="706">
        <f t="shared" si="26"/>
        <v>177.56</v>
      </c>
      <c r="AS23" s="706">
        <f t="shared" si="27"/>
        <v>225</v>
      </c>
      <c r="AT23" s="706">
        <f t="shared" si="28"/>
        <v>543</v>
      </c>
      <c r="AU23" s="705">
        <f t="shared" si="29"/>
        <v>613.70000000000005</v>
      </c>
      <c r="AV23" s="705">
        <f t="shared" si="30"/>
        <v>658</v>
      </c>
      <c r="AW23" s="1274"/>
      <c r="BF23" s="984">
        <f>B23</f>
        <v>10</v>
      </c>
    </row>
    <row r="24" spans="1:58" ht="292" customHeight="1">
      <c r="B24" s="464"/>
      <c r="C24" s="482"/>
      <c r="D24" s="1427" t="s">
        <v>1096</v>
      </c>
      <c r="E24" s="1681"/>
      <c r="F24" s="1211" t="s">
        <v>1084</v>
      </c>
      <c r="G24" s="1215" t="s">
        <v>1085</v>
      </c>
      <c r="H24" s="1210" t="s">
        <v>1086</v>
      </c>
      <c r="I24" s="844"/>
      <c r="J24" s="888" t="s">
        <v>1097</v>
      </c>
      <c r="K24" s="1229" t="s">
        <v>248</v>
      </c>
      <c r="L24" s="1209" t="s">
        <v>249</v>
      </c>
      <c r="M24" s="1209" t="s">
        <v>1099</v>
      </c>
      <c r="N24" s="1209" t="s">
        <v>251</v>
      </c>
      <c r="O24" s="891" t="s">
        <v>1181</v>
      </c>
      <c r="P24" s="791"/>
      <c r="Q24" s="544"/>
      <c r="R24" s="677"/>
      <c r="S24" s="1038" t="s">
        <v>1159</v>
      </c>
      <c r="T24" s="812" t="s">
        <v>1100</v>
      </c>
      <c r="U24" s="870" t="s">
        <v>1101</v>
      </c>
      <c r="V24" s="1063" t="s">
        <v>130</v>
      </c>
      <c r="W24" s="565" t="s">
        <v>1102</v>
      </c>
      <c r="X24" s="544"/>
      <c r="Z24" s="1230" t="s">
        <v>1148</v>
      </c>
      <c r="AA24" s="370"/>
      <c r="AB24" s="1036" t="s">
        <v>220</v>
      </c>
      <c r="AC24" s="1114" t="s">
        <v>1103</v>
      </c>
      <c r="AD24" s="1021" t="s">
        <v>1094</v>
      </c>
      <c r="AE24" s="12"/>
      <c r="AF24" s="23"/>
      <c r="AG24" s="1230" t="s">
        <v>1148</v>
      </c>
      <c r="AH24" s="485"/>
      <c r="AI24" s="836"/>
      <c r="AJ24" s="1273" t="s">
        <v>1178</v>
      </c>
      <c r="AK24" s="1205" t="s">
        <v>1033</v>
      </c>
      <c r="AL24" s="36"/>
      <c r="AM24" s="36"/>
      <c r="AN24" s="540" t="s">
        <v>46</v>
      </c>
      <c r="AP24" s="465"/>
    </row>
    <row r="25" spans="1:58">
      <c r="AI25" s="837"/>
      <c r="AP25" s="465"/>
      <c r="AW25" s="1278"/>
    </row>
    <row r="26" spans="1:58">
      <c r="B26" s="960" t="s">
        <v>31</v>
      </c>
      <c r="C26" s="482"/>
      <c r="AI26" s="837"/>
      <c r="AP26" s="465"/>
    </row>
    <row r="27" spans="1:58" ht="33" customHeight="1">
      <c r="C27" s="504" t="s">
        <v>93</v>
      </c>
      <c r="D27" s="1682" t="s">
        <v>39</v>
      </c>
      <c r="E27" s="1683"/>
      <c r="F27" s="1683"/>
      <c r="G27" s="1683"/>
      <c r="H27" s="1683"/>
      <c r="I27" s="1684"/>
      <c r="J27" s="1571" t="s">
        <v>104</v>
      </c>
      <c r="K27" s="1529"/>
      <c r="L27" s="1677"/>
      <c r="M27" s="1677"/>
      <c r="N27" s="1677"/>
      <c r="O27" s="1677"/>
      <c r="P27" s="1677"/>
      <c r="Q27" s="1677"/>
      <c r="R27" s="1675" t="s">
        <v>22</v>
      </c>
      <c r="S27" s="1676"/>
      <c r="T27" s="1516" t="s">
        <v>136</v>
      </c>
      <c r="U27" s="1574"/>
      <c r="V27" s="1574"/>
      <c r="W27" s="1574"/>
      <c r="X27" s="1574"/>
      <c r="Y27" s="1575" t="s">
        <v>133</v>
      </c>
      <c r="Z27" s="1688"/>
      <c r="AA27" s="145"/>
      <c r="AB27" s="145"/>
      <c r="AC27" s="1685" t="s">
        <v>101</v>
      </c>
      <c r="AD27" s="1686"/>
      <c r="AE27" s="1687"/>
      <c r="AF27" s="1689" t="s">
        <v>23</v>
      </c>
      <c r="AG27" s="1690"/>
      <c r="AH27" s="466"/>
      <c r="AI27" s="1696" t="s">
        <v>25</v>
      </c>
      <c r="AJ27" s="1697"/>
      <c r="AK27" s="1697"/>
      <c r="AL27" s="1697"/>
      <c r="AM27" s="1697"/>
      <c r="AN27" s="1698"/>
      <c r="AO27" s="204"/>
      <c r="AP27" s="453"/>
      <c r="AV27" s="1278" t="s">
        <v>82</v>
      </c>
    </row>
    <row r="28" spans="1:58">
      <c r="B28" s="464"/>
      <c r="C28" s="505"/>
      <c r="D28" s="173">
        <v>1</v>
      </c>
      <c r="E28" s="134">
        <f>D28+1</f>
        <v>2</v>
      </c>
      <c r="F28" s="134">
        <f>E28+1</f>
        <v>3</v>
      </c>
      <c r="G28" s="134">
        <f t="shared" ref="G28:AO28" si="33">F28+1</f>
        <v>4</v>
      </c>
      <c r="H28" s="134">
        <f t="shared" si="33"/>
        <v>5</v>
      </c>
      <c r="I28" s="133">
        <f t="shared" si="33"/>
        <v>6</v>
      </c>
      <c r="J28" s="134">
        <f t="shared" si="33"/>
        <v>7</v>
      </c>
      <c r="K28" s="134">
        <f t="shared" ref="K28" si="34">J28+1</f>
        <v>8</v>
      </c>
      <c r="L28" s="134">
        <f t="shared" ref="L28" si="35">K28+1</f>
        <v>9</v>
      </c>
      <c r="M28" s="134">
        <f t="shared" si="33"/>
        <v>10</v>
      </c>
      <c r="N28" s="134">
        <f t="shared" si="33"/>
        <v>11</v>
      </c>
      <c r="O28" s="134">
        <f t="shared" si="33"/>
        <v>12</v>
      </c>
      <c r="P28" s="134">
        <f t="shared" si="33"/>
        <v>13</v>
      </c>
      <c r="Q28" s="134">
        <f t="shared" si="33"/>
        <v>14</v>
      </c>
      <c r="R28" s="151">
        <f t="shared" si="33"/>
        <v>15</v>
      </c>
      <c r="S28" s="365">
        <f t="shared" si="33"/>
        <v>16</v>
      </c>
      <c r="T28" s="134">
        <f t="shared" si="33"/>
        <v>17</v>
      </c>
      <c r="U28" s="134">
        <f t="shared" si="33"/>
        <v>18</v>
      </c>
      <c r="V28" s="134">
        <f t="shared" si="33"/>
        <v>19</v>
      </c>
      <c r="W28" s="364">
        <f t="shared" si="33"/>
        <v>20</v>
      </c>
      <c r="X28" s="134">
        <f t="shared" si="33"/>
        <v>21</v>
      </c>
      <c r="Y28" s="151">
        <f t="shared" si="33"/>
        <v>22</v>
      </c>
      <c r="Z28" s="365">
        <f t="shared" si="33"/>
        <v>23</v>
      </c>
      <c r="AA28" s="173">
        <f t="shared" si="33"/>
        <v>24</v>
      </c>
      <c r="AB28" s="133">
        <f t="shared" si="33"/>
        <v>25</v>
      </c>
      <c r="AC28" s="173">
        <f t="shared" si="33"/>
        <v>26</v>
      </c>
      <c r="AD28" s="134">
        <f t="shared" si="33"/>
        <v>27</v>
      </c>
      <c r="AE28" s="134">
        <f t="shared" si="33"/>
        <v>28</v>
      </c>
      <c r="AF28" s="151">
        <f t="shared" si="33"/>
        <v>29</v>
      </c>
      <c r="AG28" s="365">
        <f t="shared" si="33"/>
        <v>30</v>
      </c>
      <c r="AH28" s="467">
        <f t="shared" si="33"/>
        <v>31</v>
      </c>
      <c r="AI28" s="134">
        <f>AH28+1</f>
        <v>32</v>
      </c>
      <c r="AJ28" s="134">
        <f>AI28+1</f>
        <v>33</v>
      </c>
      <c r="AK28" s="134">
        <f t="shared" si="33"/>
        <v>34</v>
      </c>
      <c r="AL28" s="134">
        <f t="shared" si="33"/>
        <v>35</v>
      </c>
      <c r="AM28" s="134">
        <f>AL28+1</f>
        <v>36</v>
      </c>
      <c r="AN28" s="133">
        <f>AM28+1</f>
        <v>37</v>
      </c>
      <c r="AO28" s="133">
        <f t="shared" si="33"/>
        <v>38</v>
      </c>
      <c r="AP28" s="468"/>
    </row>
    <row r="29" spans="1:58" ht="125" customHeight="1">
      <c r="B29" s="464"/>
      <c r="C29" s="1246" t="s">
        <v>1104</v>
      </c>
      <c r="D29" s="1023" t="s">
        <v>457</v>
      </c>
      <c r="E29" s="1024" t="s">
        <v>458</v>
      </c>
      <c r="F29" s="1024" t="s">
        <v>407</v>
      </c>
      <c r="G29" s="1025" t="s">
        <v>408</v>
      </c>
      <c r="H29" s="418" t="s">
        <v>409</v>
      </c>
      <c r="I29" s="418" t="s">
        <v>410</v>
      </c>
      <c r="J29" s="1026" t="s">
        <v>459</v>
      </c>
      <c r="K29" s="1025" t="s">
        <v>1106</v>
      </c>
      <c r="L29" s="1025" t="s">
        <v>460</v>
      </c>
      <c r="M29" s="1025" t="s">
        <v>461</v>
      </c>
      <c r="N29" s="1025" t="s">
        <v>1110</v>
      </c>
      <c r="O29" s="1025" t="s">
        <v>1108</v>
      </c>
      <c r="P29" s="1025" t="s">
        <v>1112</v>
      </c>
      <c r="Q29" s="1249" t="s">
        <v>418</v>
      </c>
      <c r="R29" s="469" t="s">
        <v>447</v>
      </c>
      <c r="S29" s="322" t="s">
        <v>448</v>
      </c>
      <c r="T29" s="1025" t="s">
        <v>462</v>
      </c>
      <c r="U29" s="1101" t="s">
        <v>463</v>
      </c>
      <c r="V29" s="1101" t="s">
        <v>464</v>
      </c>
      <c r="W29" s="819" t="s">
        <v>465</v>
      </c>
      <c r="X29" s="819" t="s">
        <v>453</v>
      </c>
      <c r="Y29" s="175" t="s">
        <v>425</v>
      </c>
      <c r="Z29" s="545" t="s">
        <v>426</v>
      </c>
      <c r="AA29" s="819" t="s">
        <v>427</v>
      </c>
      <c r="AB29" s="819" t="s">
        <v>428</v>
      </c>
      <c r="AC29" s="1026" t="s">
        <v>429</v>
      </c>
      <c r="AD29" s="819" t="s">
        <v>466</v>
      </c>
      <c r="AE29" s="1156" t="s">
        <v>467</v>
      </c>
      <c r="AF29" s="154" t="s">
        <v>432</v>
      </c>
      <c r="AG29" s="155" t="s">
        <v>433</v>
      </c>
      <c r="AH29" s="1243" t="s">
        <v>434</v>
      </c>
      <c r="AI29" s="1054" t="s">
        <v>346</v>
      </c>
      <c r="AJ29" s="1055" t="s">
        <v>435</v>
      </c>
      <c r="AK29" s="1172" t="s">
        <v>0</v>
      </c>
      <c r="AL29" s="1148" t="s">
        <v>27</v>
      </c>
      <c r="AM29" s="819" t="s">
        <v>402</v>
      </c>
      <c r="AN29" s="820" t="s">
        <v>343</v>
      </c>
      <c r="AO29" s="470" t="s">
        <v>436</v>
      </c>
      <c r="AP29" s="446"/>
      <c r="AQ29" s="1252" t="s">
        <v>468</v>
      </c>
      <c r="AR29" s="418" t="s">
        <v>438</v>
      </c>
      <c r="AS29" s="418" t="s">
        <v>439</v>
      </c>
      <c r="AT29" s="361" t="s">
        <v>440</v>
      </c>
      <c r="AU29" s="861" t="s">
        <v>403</v>
      </c>
      <c r="AV29" s="861" t="s">
        <v>746</v>
      </c>
      <c r="AW29" s="1111"/>
      <c r="BF29" s="978" t="s">
        <v>779</v>
      </c>
    </row>
    <row r="30" spans="1:58">
      <c r="A30" s="584">
        <v>11</v>
      </c>
      <c r="B30" s="782">
        <v>11</v>
      </c>
      <c r="C30" s="55" t="s">
        <v>1183</v>
      </c>
      <c r="D30" s="1247">
        <v>332</v>
      </c>
      <c r="E30" s="1241">
        <f>2*D30</f>
        <v>664</v>
      </c>
      <c r="F30" s="1241">
        <f>2*316</f>
        <v>632</v>
      </c>
      <c r="G30" s="1248">
        <f>1.15*F30</f>
        <v>726.8</v>
      </c>
      <c r="H30" s="901">
        <f>0.23*E30</f>
        <v>152.72</v>
      </c>
      <c r="I30" s="902">
        <f>0.5*(H30*1.1)</f>
        <v>83.996000000000009</v>
      </c>
      <c r="J30" s="1069">
        <v>160</v>
      </c>
      <c r="K30" s="1070">
        <v>15</v>
      </c>
      <c r="L30" s="1070">
        <v>240</v>
      </c>
      <c r="M30" s="1070">
        <v>15</v>
      </c>
      <c r="N30" s="1070">
        <f>125-102</f>
        <v>23</v>
      </c>
      <c r="O30" s="1070" t="s">
        <v>73</v>
      </c>
      <c r="P30" s="1070" t="s">
        <v>73</v>
      </c>
      <c r="Q30" s="1250">
        <f>SUM(J30:P30)</f>
        <v>453</v>
      </c>
      <c r="R30" s="903">
        <f>2*Q30</f>
        <v>906</v>
      </c>
      <c r="S30" s="489">
        <f>R30+(2*71)</f>
        <v>1048</v>
      </c>
      <c r="T30" s="676">
        <v>34</v>
      </c>
      <c r="U30" s="676">
        <v>10</v>
      </c>
      <c r="V30" s="676">
        <v>40</v>
      </c>
      <c r="W30" s="676" t="s">
        <v>113</v>
      </c>
      <c r="X30" s="833">
        <f>SUM(T30:W30)</f>
        <v>84</v>
      </c>
      <c r="Y30" s="684">
        <f>2*X30</f>
        <v>168</v>
      </c>
      <c r="Z30" s="678">
        <f>Y30+(23)</f>
        <v>191</v>
      </c>
      <c r="AA30" s="666">
        <f>Z30-H30</f>
        <v>38.28</v>
      </c>
      <c r="AB30" s="833">
        <f>Z30-I30</f>
        <v>107.00399999999999</v>
      </c>
      <c r="AC30" s="1069">
        <v>30</v>
      </c>
      <c r="AD30" s="889">
        <f t="shared" ref="AD30:AD33" si="36">33.89+(AC30*0.2095)</f>
        <v>40.174999999999997</v>
      </c>
      <c r="AE30" s="675">
        <f>X30-(V30)+AD30</f>
        <v>84.174999999999997</v>
      </c>
      <c r="AF30" s="682">
        <f>2*AE30</f>
        <v>168.35</v>
      </c>
      <c r="AG30" s="478">
        <f>AF30+(23)</f>
        <v>191.35</v>
      </c>
      <c r="AH30" s="685">
        <f>AG30-I30</f>
        <v>107.35399999999998</v>
      </c>
      <c r="AI30" s="616" t="s">
        <v>379</v>
      </c>
      <c r="AJ30" s="616">
        <v>219</v>
      </c>
      <c r="AK30" s="616">
        <f>(2*AJ30)+(2*71)+(2*45)</f>
        <v>670</v>
      </c>
      <c r="AL30" s="699">
        <f>S30-AK30</f>
        <v>378</v>
      </c>
      <c r="AM30" s="666" t="s">
        <v>113</v>
      </c>
      <c r="AN30" s="480">
        <f>562+(1*23)</f>
        <v>585</v>
      </c>
      <c r="AO30" s="472">
        <f>Z30-AN30</f>
        <v>-394</v>
      </c>
      <c r="AP30" s="481"/>
      <c r="AQ30" s="566" t="s">
        <v>67</v>
      </c>
      <c r="AR30" s="881">
        <f>H30</f>
        <v>152.72</v>
      </c>
      <c r="AS30" s="881">
        <f>Z30</f>
        <v>191</v>
      </c>
      <c r="AT30" s="881">
        <f>AN30</f>
        <v>585</v>
      </c>
      <c r="AU30" s="701">
        <f>S30-G30</f>
        <v>321.20000000000005</v>
      </c>
      <c r="AV30" s="705">
        <f>AL30</f>
        <v>378</v>
      </c>
      <c r="AW30" s="1274"/>
      <c r="BF30" s="957">
        <f>B30</f>
        <v>11</v>
      </c>
    </row>
    <row r="31" spans="1:58">
      <c r="A31" s="584">
        <f>A30+1</f>
        <v>12</v>
      </c>
      <c r="B31" s="782">
        <f>B30+1</f>
        <v>12</v>
      </c>
      <c r="C31" s="55" t="s">
        <v>1184</v>
      </c>
      <c r="D31" s="1247">
        <v>250</v>
      </c>
      <c r="E31" s="1241">
        <f>2*D31</f>
        <v>500</v>
      </c>
      <c r="F31" s="1241">
        <f>2*224</f>
        <v>448</v>
      </c>
      <c r="G31" s="1248">
        <f>1.15*F31</f>
        <v>515.19999999999993</v>
      </c>
      <c r="H31" s="901">
        <f>0.23*E31</f>
        <v>115</v>
      </c>
      <c r="I31" s="902">
        <f>0.5*(H31*1.1)</f>
        <v>63.250000000000007</v>
      </c>
      <c r="J31" s="1069">
        <v>160</v>
      </c>
      <c r="K31" s="1070">
        <v>15</v>
      </c>
      <c r="L31" s="1070">
        <f>240</f>
        <v>240</v>
      </c>
      <c r="M31" s="1070">
        <v>15</v>
      </c>
      <c r="N31" s="1070">
        <f>102-44</f>
        <v>58</v>
      </c>
      <c r="O31" s="1070" t="s">
        <v>73</v>
      </c>
      <c r="P31" s="1070" t="s">
        <v>73</v>
      </c>
      <c r="Q31" s="1250">
        <f>SUM(J31:P31)</f>
        <v>488</v>
      </c>
      <c r="R31" s="903">
        <f>2*Q31</f>
        <v>976</v>
      </c>
      <c r="S31" s="489">
        <f>R31+(2*71)</f>
        <v>1118</v>
      </c>
      <c r="T31" s="676">
        <v>34</v>
      </c>
      <c r="U31" s="676">
        <v>10</v>
      </c>
      <c r="V31" s="676">
        <v>62</v>
      </c>
      <c r="W31" s="676" t="s">
        <v>113</v>
      </c>
      <c r="X31" s="833">
        <f>SUM(T31:W31)</f>
        <v>106</v>
      </c>
      <c r="Y31" s="684">
        <f>2*X31</f>
        <v>212</v>
      </c>
      <c r="Z31" s="678">
        <f>Y31+(23)</f>
        <v>235</v>
      </c>
      <c r="AA31" s="666">
        <f>Z31-H31</f>
        <v>120</v>
      </c>
      <c r="AB31" s="833">
        <f>Z31-I31</f>
        <v>171.75</v>
      </c>
      <c r="AC31" s="1069">
        <f>(199-48)+30</f>
        <v>181</v>
      </c>
      <c r="AD31" s="889">
        <f t="shared" si="36"/>
        <v>71.8095</v>
      </c>
      <c r="AE31" s="675">
        <f>X31-(V31)+AD31</f>
        <v>115.8095</v>
      </c>
      <c r="AF31" s="682">
        <f>2*AE31</f>
        <v>231.619</v>
      </c>
      <c r="AG31" s="478">
        <f>AF31+(23)</f>
        <v>254.619</v>
      </c>
      <c r="AH31" s="685">
        <f>AG31-I31</f>
        <v>191.369</v>
      </c>
      <c r="AI31" s="616" t="s">
        <v>380</v>
      </c>
      <c r="AJ31" s="616">
        <v>540</v>
      </c>
      <c r="AK31" s="616">
        <f>(2*AJ31)+(2*71)+(2*45)</f>
        <v>1312</v>
      </c>
      <c r="AL31" s="699">
        <f>S31-AK31</f>
        <v>-194</v>
      </c>
      <c r="AM31" s="666" t="s">
        <v>113</v>
      </c>
      <c r="AN31" s="480">
        <f>672+(1*23)</f>
        <v>695</v>
      </c>
      <c r="AO31" s="472">
        <f>Z31-AN31</f>
        <v>-460</v>
      </c>
      <c r="AP31" s="481"/>
      <c r="AQ31" s="566" t="s">
        <v>66</v>
      </c>
      <c r="AR31" s="881">
        <f t="shared" ref="AR31:AR33" si="37">H31</f>
        <v>115</v>
      </c>
      <c r="AS31" s="881">
        <f t="shared" ref="AS31:AS33" si="38">Z31</f>
        <v>235</v>
      </c>
      <c r="AT31" s="881">
        <f t="shared" ref="AT31:AT33" si="39">AN31</f>
        <v>695</v>
      </c>
      <c r="AU31" s="701">
        <f t="shared" ref="AU31:AU33" si="40">S31-G31</f>
        <v>602.80000000000007</v>
      </c>
      <c r="AV31" s="705">
        <f t="shared" ref="AV31:AV33" si="41">AL31</f>
        <v>-194</v>
      </c>
      <c r="AW31" s="1274"/>
      <c r="BF31" s="957">
        <f>B31</f>
        <v>12</v>
      </c>
    </row>
    <row r="32" spans="1:58">
      <c r="A32" s="584">
        <f t="shared" ref="A32:B33" si="42">A31+1</f>
        <v>13</v>
      </c>
      <c r="B32" s="782">
        <f t="shared" si="42"/>
        <v>13</v>
      </c>
      <c r="C32" s="55" t="s">
        <v>1185</v>
      </c>
      <c r="D32" s="1247">
        <v>546</v>
      </c>
      <c r="E32" s="1241">
        <f>2*D32</f>
        <v>1092</v>
      </c>
      <c r="F32" s="1241">
        <f>2*488</f>
        <v>976</v>
      </c>
      <c r="G32" s="1248">
        <f>1.15*F32</f>
        <v>1122.3999999999999</v>
      </c>
      <c r="H32" s="901">
        <f>0.23*E32</f>
        <v>251.16000000000003</v>
      </c>
      <c r="I32" s="902">
        <f>0.5*(H32*1.1)</f>
        <v>138.13800000000003</v>
      </c>
      <c r="J32" s="1069">
        <v>160</v>
      </c>
      <c r="K32" s="1070">
        <v>15</v>
      </c>
      <c r="L32" s="1070">
        <v>240</v>
      </c>
      <c r="M32" s="1070">
        <v>15</v>
      </c>
      <c r="N32" s="1070">
        <f>183-102</f>
        <v>81</v>
      </c>
      <c r="O32" s="1070">
        <v>15</v>
      </c>
      <c r="P32" s="1070">
        <v>160</v>
      </c>
      <c r="Q32" s="1250">
        <f>SUM(J32:P32)</f>
        <v>686</v>
      </c>
      <c r="R32" s="903">
        <f>2*Q32</f>
        <v>1372</v>
      </c>
      <c r="S32" s="489">
        <f>R32+(2*71)</f>
        <v>1514</v>
      </c>
      <c r="T32" s="676">
        <v>34</v>
      </c>
      <c r="U32" s="676">
        <v>10</v>
      </c>
      <c r="V32" s="676">
        <v>64</v>
      </c>
      <c r="W32" s="676">
        <v>13</v>
      </c>
      <c r="X32" s="833">
        <f>SUM(T32:W32)</f>
        <v>121</v>
      </c>
      <c r="Y32" s="684">
        <f>2*X32</f>
        <v>242</v>
      </c>
      <c r="Z32" s="678">
        <f>Y32+(23)</f>
        <v>265</v>
      </c>
      <c r="AA32" s="666">
        <f>Z32-H32</f>
        <v>13.839999999999975</v>
      </c>
      <c r="AB32" s="833">
        <f>Z32-I32</f>
        <v>126.86199999999997</v>
      </c>
      <c r="AC32" s="1069">
        <f>(306-199)+30</f>
        <v>137</v>
      </c>
      <c r="AD32" s="889">
        <f t="shared" si="36"/>
        <v>62.591499999999996</v>
      </c>
      <c r="AE32" s="675">
        <f>X32-(V32)+AD32</f>
        <v>119.5915</v>
      </c>
      <c r="AF32" s="682">
        <f>2*AE32</f>
        <v>239.18299999999999</v>
      </c>
      <c r="AG32" s="478">
        <f>AF32+(23)</f>
        <v>262.18299999999999</v>
      </c>
      <c r="AH32" s="685">
        <f>AG32-I32</f>
        <v>124.04499999999996</v>
      </c>
      <c r="AI32" s="616" t="s">
        <v>381</v>
      </c>
      <c r="AJ32" s="616">
        <v>214</v>
      </c>
      <c r="AK32" s="616">
        <f>(2*AJ32)+(2*71)+(2*45)</f>
        <v>660</v>
      </c>
      <c r="AL32" s="699">
        <f>S32-AK32</f>
        <v>854</v>
      </c>
      <c r="AM32" s="666" t="s">
        <v>113</v>
      </c>
      <c r="AN32" s="480">
        <f>274+(1*23)</f>
        <v>297</v>
      </c>
      <c r="AO32" s="472">
        <f>Z32-AN32</f>
        <v>-32</v>
      </c>
      <c r="AP32" s="481"/>
      <c r="AQ32" s="7" t="s">
        <v>764</v>
      </c>
      <c r="AR32" s="706">
        <f t="shared" si="37"/>
        <v>251.16000000000003</v>
      </c>
      <c r="AS32" s="706">
        <f t="shared" si="38"/>
        <v>265</v>
      </c>
      <c r="AT32" s="706">
        <f t="shared" si="39"/>
        <v>297</v>
      </c>
      <c r="AU32" s="705">
        <f t="shared" si="40"/>
        <v>391.60000000000014</v>
      </c>
      <c r="AV32" s="705">
        <f t="shared" si="41"/>
        <v>854</v>
      </c>
      <c r="AW32" s="1274"/>
      <c r="BF32" s="957">
        <f>B32</f>
        <v>13</v>
      </c>
    </row>
    <row r="33" spans="1:58">
      <c r="A33" s="584">
        <f t="shared" si="42"/>
        <v>14</v>
      </c>
      <c r="B33" s="782">
        <f t="shared" si="42"/>
        <v>14</v>
      </c>
      <c r="C33" s="55" t="s">
        <v>1186</v>
      </c>
      <c r="D33" s="1247">
        <v>664</v>
      </c>
      <c r="E33" s="1241">
        <f>2*D33</f>
        <v>1328</v>
      </c>
      <c r="F33" s="1241">
        <f>2*589</f>
        <v>1178</v>
      </c>
      <c r="G33" s="1248">
        <f>1.15*F33</f>
        <v>1354.6999999999998</v>
      </c>
      <c r="H33" s="901">
        <f t="shared" ref="H33" si="43">0.23*E33</f>
        <v>305.44</v>
      </c>
      <c r="I33" s="902">
        <f>0.5*(H33*1.1)</f>
        <v>167.99200000000002</v>
      </c>
      <c r="J33" s="1069">
        <v>160</v>
      </c>
      <c r="K33" s="1070">
        <v>15</v>
      </c>
      <c r="L33" s="1070">
        <v>240</v>
      </c>
      <c r="M33" s="1070">
        <v>15</v>
      </c>
      <c r="N33" s="1070">
        <f>183-102</f>
        <v>81</v>
      </c>
      <c r="O33" s="1070">
        <v>15</v>
      </c>
      <c r="P33" s="1070">
        <f>160+30+170</f>
        <v>360</v>
      </c>
      <c r="Q33" s="1250">
        <f t="shared" ref="Q33" si="44">SUM(J33:P33)</f>
        <v>886</v>
      </c>
      <c r="R33" s="903">
        <f>2*Q33</f>
        <v>1772</v>
      </c>
      <c r="S33" s="489">
        <f>R33+(2*71)</f>
        <v>1914</v>
      </c>
      <c r="T33" s="676">
        <v>34</v>
      </c>
      <c r="U33" s="676">
        <v>10</v>
      </c>
      <c r="V33" s="676">
        <v>64</v>
      </c>
      <c r="W33" s="676">
        <f>13+36</f>
        <v>49</v>
      </c>
      <c r="X33" s="833">
        <f>SUM(T33:W33)</f>
        <v>157</v>
      </c>
      <c r="Y33" s="684">
        <f>2*X33</f>
        <v>314</v>
      </c>
      <c r="Z33" s="678">
        <f>Y33+(23)</f>
        <v>337</v>
      </c>
      <c r="AA33" s="666">
        <f>Z33-H33</f>
        <v>31.560000000000002</v>
      </c>
      <c r="AB33" s="833">
        <f>Z33-I33</f>
        <v>169.00799999999998</v>
      </c>
      <c r="AC33" s="1069">
        <f>(306-199)+30</f>
        <v>137</v>
      </c>
      <c r="AD33" s="889">
        <f t="shared" si="36"/>
        <v>62.591499999999996</v>
      </c>
      <c r="AE33" s="675">
        <f>X33-(V33)+AD33</f>
        <v>155.5915</v>
      </c>
      <c r="AF33" s="682">
        <f>2*AE33</f>
        <v>311.18299999999999</v>
      </c>
      <c r="AG33" s="478">
        <f>AF33+(23)</f>
        <v>334.18299999999999</v>
      </c>
      <c r="AH33" s="685">
        <f>AG33-I33</f>
        <v>166.19099999999997</v>
      </c>
      <c r="AI33" s="616" t="s">
        <v>382</v>
      </c>
      <c r="AJ33" s="616">
        <v>209</v>
      </c>
      <c r="AK33" s="616">
        <f>(2*AJ33)+(2*71)+(2*45)</f>
        <v>650</v>
      </c>
      <c r="AL33" s="699">
        <f>S33-AK33</f>
        <v>1264</v>
      </c>
      <c r="AM33" s="666" t="s">
        <v>113</v>
      </c>
      <c r="AN33" s="480">
        <f>455+(1*23)</f>
        <v>478</v>
      </c>
      <c r="AO33" s="472">
        <f>Z33-AN33</f>
        <v>-141</v>
      </c>
      <c r="AP33" s="481"/>
      <c r="AQ33" s="471" t="s">
        <v>68</v>
      </c>
      <c r="AR33" s="706">
        <f t="shared" si="37"/>
        <v>305.44</v>
      </c>
      <c r="AS33" s="706">
        <f t="shared" si="38"/>
        <v>337</v>
      </c>
      <c r="AT33" s="706">
        <f t="shared" si="39"/>
        <v>478</v>
      </c>
      <c r="AU33" s="705">
        <f t="shared" si="40"/>
        <v>559.30000000000018</v>
      </c>
      <c r="AV33" s="705">
        <f t="shared" si="41"/>
        <v>1264</v>
      </c>
      <c r="AW33" s="1274"/>
      <c r="BF33" s="957">
        <f>B33</f>
        <v>14</v>
      </c>
    </row>
    <row r="34" spans="1:58" ht="290" customHeight="1">
      <c r="B34" s="464"/>
      <c r="D34" s="1427" t="s">
        <v>1105</v>
      </c>
      <c r="E34" s="1399"/>
      <c r="F34" s="1211" t="s">
        <v>1084</v>
      </c>
      <c r="G34" s="1215" t="s">
        <v>1085</v>
      </c>
      <c r="H34" s="1210" t="s">
        <v>1086</v>
      </c>
      <c r="I34" s="844"/>
      <c r="J34" s="1208" t="s">
        <v>1114</v>
      </c>
      <c r="K34" s="1062" t="s">
        <v>1107</v>
      </c>
      <c r="L34" s="1209" t="s">
        <v>250</v>
      </c>
      <c r="M34" s="1062" t="s">
        <v>248</v>
      </c>
      <c r="N34" s="1062" t="s">
        <v>1109</v>
      </c>
      <c r="O34" s="1209" t="s">
        <v>1111</v>
      </c>
      <c r="P34" s="843" t="s">
        <v>1119</v>
      </c>
      <c r="Q34" s="885"/>
      <c r="R34" s="677"/>
      <c r="S34" s="1038" t="s">
        <v>1159</v>
      </c>
      <c r="T34" s="565" t="s">
        <v>1113</v>
      </c>
      <c r="U34" s="1253" t="s">
        <v>1120</v>
      </c>
      <c r="V34" s="1063" t="s">
        <v>130</v>
      </c>
      <c r="W34" s="843" t="s">
        <v>1121</v>
      </c>
      <c r="X34" s="827"/>
      <c r="Y34" s="473"/>
      <c r="Z34" s="1230" t="s">
        <v>1148</v>
      </c>
      <c r="AA34" s="180"/>
      <c r="AB34" s="1036" t="s">
        <v>220</v>
      </c>
      <c r="AC34" s="1251" t="s">
        <v>137</v>
      </c>
      <c r="AD34" s="1021" t="s">
        <v>1094</v>
      </c>
      <c r="AE34" s="475"/>
      <c r="AF34" s="474"/>
      <c r="AG34" s="1230" t="s">
        <v>1148</v>
      </c>
      <c r="AH34" s="491"/>
      <c r="AI34" s="574"/>
      <c r="AJ34" s="1273" t="s">
        <v>1178</v>
      </c>
      <c r="AK34" s="1205" t="s">
        <v>1033</v>
      </c>
      <c r="AL34" s="36"/>
      <c r="AM34" s="36"/>
      <c r="AN34" s="540" t="s">
        <v>46</v>
      </c>
      <c r="AO34" s="474"/>
      <c r="AP34" s="481"/>
      <c r="AW34" s="1274"/>
    </row>
    <row r="35" spans="1:58">
      <c r="AI35" s="837"/>
      <c r="AP35" s="481"/>
      <c r="AW35" s="1278"/>
    </row>
    <row r="36" spans="1:58">
      <c r="B36" s="960" t="s">
        <v>32</v>
      </c>
      <c r="AI36" s="837"/>
      <c r="AP36" s="465"/>
    </row>
    <row r="37" spans="1:58" s="1122" customFormat="1" ht="30" customHeight="1">
      <c r="C37" s="1117" t="s">
        <v>93</v>
      </c>
      <c r="D37" s="1424" t="s">
        <v>39</v>
      </c>
      <c r="E37" s="1466"/>
      <c r="F37" s="1466"/>
      <c r="G37" s="1466"/>
      <c r="H37" s="1466"/>
      <c r="I37" s="1652"/>
      <c r="J37" s="1523" t="s">
        <v>104</v>
      </c>
      <c r="K37" s="1448"/>
      <c r="L37" s="1653"/>
      <c r="M37" s="1653"/>
      <c r="N37" s="1653"/>
      <c r="O37" s="1653"/>
      <c r="P37" s="1653"/>
      <c r="Q37" s="1653"/>
      <c r="R37" s="1648" t="s">
        <v>22</v>
      </c>
      <c r="S37" s="1649"/>
      <c r="T37" s="1409" t="s">
        <v>136</v>
      </c>
      <c r="U37" s="1410"/>
      <c r="V37" s="1410"/>
      <c r="W37" s="1410"/>
      <c r="X37" s="1410"/>
      <c r="Y37" s="1411" t="s">
        <v>133</v>
      </c>
      <c r="Z37" s="1651"/>
      <c r="AA37" s="1254"/>
      <c r="AB37" s="1254"/>
      <c r="AC37" s="1645" t="s">
        <v>101</v>
      </c>
      <c r="AD37" s="1646"/>
      <c r="AE37" s="1647"/>
      <c r="AF37" s="1584" t="s">
        <v>23</v>
      </c>
      <c r="AG37" s="1642"/>
      <c r="AH37" s="1255"/>
      <c r="AI37" s="1131"/>
      <c r="AJ37" s="1656" t="s">
        <v>25</v>
      </c>
      <c r="AK37" s="1586"/>
      <c r="AL37" s="1586"/>
      <c r="AM37" s="1586"/>
      <c r="AN37" s="1555"/>
      <c r="AO37" s="1256"/>
      <c r="AP37" s="1257"/>
      <c r="AV37" s="1317" t="s">
        <v>82</v>
      </c>
    </row>
    <row r="38" spans="1:58">
      <c r="B38" s="464"/>
      <c r="C38" s="505"/>
      <c r="D38" s="493">
        <v>1</v>
      </c>
      <c r="E38" s="502">
        <v>2</v>
      </c>
      <c r="F38" s="502">
        <v>3</v>
      </c>
      <c r="G38" s="502">
        <v>4</v>
      </c>
      <c r="H38" s="502">
        <v>5</v>
      </c>
      <c r="I38" s="494">
        <v>6</v>
      </c>
      <c r="J38" s="492">
        <v>7</v>
      </c>
      <c r="K38" s="492">
        <f>J38+1</f>
        <v>8</v>
      </c>
      <c r="L38" s="492">
        <v>9</v>
      </c>
      <c r="M38" s="492">
        <v>10</v>
      </c>
      <c r="N38" s="492">
        <v>11</v>
      </c>
      <c r="O38" s="492">
        <v>12</v>
      </c>
      <c r="P38" s="492">
        <v>13</v>
      </c>
      <c r="Q38" s="492">
        <v>14</v>
      </c>
      <c r="R38" s="151">
        <f t="shared" ref="R38" si="45">Q38+1</f>
        <v>15</v>
      </c>
      <c r="S38" s="365">
        <f t="shared" ref="S38" si="46">R38+1</f>
        <v>16</v>
      </c>
      <c r="T38" s="492">
        <v>17</v>
      </c>
      <c r="U38" s="492">
        <v>18</v>
      </c>
      <c r="V38" s="492">
        <v>19</v>
      </c>
      <c r="W38" s="492">
        <v>20</v>
      </c>
      <c r="X38" s="492">
        <v>21</v>
      </c>
      <c r="Y38" s="904">
        <v>22</v>
      </c>
      <c r="Z38" s="905">
        <v>23</v>
      </c>
      <c r="AA38" s="492">
        <v>24</v>
      </c>
      <c r="AB38" s="494">
        <v>25</v>
      </c>
      <c r="AC38" s="492">
        <v>26</v>
      </c>
      <c r="AD38" s="492">
        <v>27</v>
      </c>
      <c r="AE38" s="492">
        <v>28</v>
      </c>
      <c r="AF38" s="151">
        <f t="shared" ref="AF38" si="47">AE38+1</f>
        <v>29</v>
      </c>
      <c r="AG38" s="365">
        <f t="shared" ref="AG38" si="48">AF38+1</f>
        <v>30</v>
      </c>
      <c r="AH38" s="494">
        <v>31</v>
      </c>
      <c r="AI38" s="134">
        <f>AH38+1</f>
        <v>32</v>
      </c>
      <c r="AJ38" s="134">
        <f>AI38+1</f>
        <v>33</v>
      </c>
      <c r="AK38" s="492">
        <v>33</v>
      </c>
      <c r="AL38" s="492">
        <v>34</v>
      </c>
      <c r="AM38" s="134">
        <f>AL38+1</f>
        <v>35</v>
      </c>
      <c r="AN38" s="133">
        <f>AM38+1</f>
        <v>36</v>
      </c>
      <c r="AO38" s="133">
        <f>AN38+1</f>
        <v>37</v>
      </c>
      <c r="AP38" s="495"/>
    </row>
    <row r="39" spans="1:58" ht="137" customHeight="1">
      <c r="A39" s="797"/>
      <c r="B39" s="464"/>
      <c r="C39" s="1159" t="s">
        <v>1115</v>
      </c>
      <c r="D39" s="1023" t="s">
        <v>469</v>
      </c>
      <c r="E39" s="1024" t="s">
        <v>470</v>
      </c>
      <c r="F39" s="1025" t="s">
        <v>407</v>
      </c>
      <c r="G39" s="1025" t="s">
        <v>408</v>
      </c>
      <c r="H39" s="418" t="s">
        <v>409</v>
      </c>
      <c r="I39" s="418" t="s">
        <v>410</v>
      </c>
      <c r="J39" s="1026" t="s">
        <v>459</v>
      </c>
      <c r="K39" s="1027" t="s">
        <v>471</v>
      </c>
      <c r="L39" s="1025" t="s">
        <v>460</v>
      </c>
      <c r="M39" s="1027" t="s">
        <v>461</v>
      </c>
      <c r="N39" s="1025" t="s">
        <v>472</v>
      </c>
      <c r="O39" s="1027" t="s">
        <v>473</v>
      </c>
      <c r="P39" s="1027" t="s">
        <v>474</v>
      </c>
      <c r="Q39" s="1027" t="s">
        <v>418</v>
      </c>
      <c r="R39" s="488" t="s">
        <v>447</v>
      </c>
      <c r="S39" s="322" t="s">
        <v>448</v>
      </c>
      <c r="T39" s="1201" t="s">
        <v>475</v>
      </c>
      <c r="U39" s="1101" t="s">
        <v>476</v>
      </c>
      <c r="V39" s="1101" t="s">
        <v>477</v>
      </c>
      <c r="W39" s="1101" t="s">
        <v>478</v>
      </c>
      <c r="X39" s="1201" t="s">
        <v>479</v>
      </c>
      <c r="Y39" s="175" t="s">
        <v>425</v>
      </c>
      <c r="Z39" s="545" t="s">
        <v>426</v>
      </c>
      <c r="AA39" s="819" t="s">
        <v>427</v>
      </c>
      <c r="AB39" s="819" t="s">
        <v>428</v>
      </c>
      <c r="AC39" s="1026" t="s">
        <v>429</v>
      </c>
      <c r="AD39" s="819" t="s">
        <v>480</v>
      </c>
      <c r="AE39" s="1258" t="s">
        <v>481</v>
      </c>
      <c r="AF39" s="154" t="s">
        <v>432</v>
      </c>
      <c r="AG39" s="155" t="s">
        <v>433</v>
      </c>
      <c r="AH39" s="1238" t="s">
        <v>434</v>
      </c>
      <c r="AI39" s="1087" t="s">
        <v>346</v>
      </c>
      <c r="AJ39" s="1055" t="s">
        <v>435</v>
      </c>
      <c r="AK39" s="1074" t="s">
        <v>0</v>
      </c>
      <c r="AL39" s="1074" t="s">
        <v>27</v>
      </c>
      <c r="AM39" s="819" t="s">
        <v>402</v>
      </c>
      <c r="AN39" s="820" t="s">
        <v>343</v>
      </c>
      <c r="AO39" s="496" t="s">
        <v>436</v>
      </c>
      <c r="AP39" s="497"/>
      <c r="AQ39" s="1059" t="s">
        <v>16</v>
      </c>
      <c r="AR39" s="418" t="s">
        <v>438</v>
      </c>
      <c r="AS39" s="418" t="s">
        <v>439</v>
      </c>
      <c r="AT39" s="361" t="s">
        <v>440</v>
      </c>
      <c r="AU39" s="861" t="s">
        <v>403</v>
      </c>
      <c r="AV39" s="861" t="s">
        <v>746</v>
      </c>
      <c r="AW39" s="1111"/>
      <c r="BF39" s="978" t="s">
        <v>779</v>
      </c>
    </row>
    <row r="40" spans="1:58">
      <c r="A40" s="799">
        <f>A33+1</f>
        <v>15</v>
      </c>
      <c r="B40" s="782">
        <v>15</v>
      </c>
      <c r="C40" s="55" t="s">
        <v>1189</v>
      </c>
      <c r="D40" s="1160">
        <v>268</v>
      </c>
      <c r="E40" s="1240">
        <f>2*D40</f>
        <v>536</v>
      </c>
      <c r="F40" s="1164">
        <f>2*273</f>
        <v>546</v>
      </c>
      <c r="G40" s="1248">
        <f>1.15*F40</f>
        <v>627.9</v>
      </c>
      <c r="H40" s="901">
        <f>0.23*E40</f>
        <v>123.28</v>
      </c>
      <c r="I40" s="902">
        <f>0.5*(H40*1.1)</f>
        <v>67.804000000000002</v>
      </c>
      <c r="J40" s="1069">
        <v>155</v>
      </c>
      <c r="K40" s="1164">
        <v>15</v>
      </c>
      <c r="L40" s="1164">
        <v>240</v>
      </c>
      <c r="M40" s="1164">
        <v>15</v>
      </c>
      <c r="N40" s="1164">
        <f>125-102</f>
        <v>23</v>
      </c>
      <c r="O40" s="1164" t="s">
        <v>73</v>
      </c>
      <c r="P40" s="1164" t="s">
        <v>73</v>
      </c>
      <c r="Q40" s="1164">
        <f>SUM(J40:P40)</f>
        <v>448</v>
      </c>
      <c r="R40" s="680">
        <f>2*Q40</f>
        <v>896</v>
      </c>
      <c r="S40" s="498">
        <f>R40+(2*71)</f>
        <v>1038</v>
      </c>
      <c r="T40" s="662">
        <v>30</v>
      </c>
      <c r="U40" s="676">
        <v>10</v>
      </c>
      <c r="V40" s="676">
        <v>40</v>
      </c>
      <c r="W40" s="676">
        <v>0</v>
      </c>
      <c r="X40" s="662">
        <f>SUM(T40:W40)</f>
        <v>80</v>
      </c>
      <c r="Y40" s="513">
        <f>2*X40</f>
        <v>160</v>
      </c>
      <c r="Z40" s="490">
        <f>Y40+(23)</f>
        <v>183</v>
      </c>
      <c r="AA40" s="833">
        <f>Z40-H40</f>
        <v>59.72</v>
      </c>
      <c r="AB40" s="833">
        <f>Z40-I40</f>
        <v>115.196</v>
      </c>
      <c r="AC40" s="1069">
        <v>33</v>
      </c>
      <c r="AD40" s="889">
        <f t="shared" ref="AD40:AD43" si="49">33.89+(AC40*0.2095)</f>
        <v>40.8035</v>
      </c>
      <c r="AE40" s="675">
        <f>X40-(V40)+AD40</f>
        <v>80.8035</v>
      </c>
      <c r="AF40" s="682">
        <f>2*AE40</f>
        <v>161.607</v>
      </c>
      <c r="AG40" s="478">
        <f>AF40+(23)</f>
        <v>184.607</v>
      </c>
      <c r="AH40" s="685">
        <f>AG40-I40</f>
        <v>116.803</v>
      </c>
      <c r="AI40" s="616" t="s">
        <v>396</v>
      </c>
      <c r="AJ40" s="616">
        <v>170</v>
      </c>
      <c r="AK40" s="616">
        <f>(2*AJ40)+(2*71)+(2*45)</f>
        <v>572</v>
      </c>
      <c r="AL40" s="699">
        <f>S40-AK40</f>
        <v>466</v>
      </c>
      <c r="AM40" s="833">
        <v>31</v>
      </c>
      <c r="AN40" s="480">
        <f>506+(1*23)+AM40</f>
        <v>560</v>
      </c>
      <c r="AO40" s="472">
        <f>Z40-AN40</f>
        <v>-377</v>
      </c>
      <c r="AP40" s="481"/>
      <c r="AQ40" s="471" t="s">
        <v>63</v>
      </c>
      <c r="AR40" s="706">
        <f>H40</f>
        <v>123.28</v>
      </c>
      <c r="AS40" s="706">
        <f>Z40</f>
        <v>183</v>
      </c>
      <c r="AT40" s="706">
        <f>AN40</f>
        <v>560</v>
      </c>
      <c r="AU40" s="705">
        <f>S40-G40</f>
        <v>410.1</v>
      </c>
      <c r="AV40" s="705">
        <f>AL40</f>
        <v>466</v>
      </c>
      <c r="AW40" s="1274"/>
      <c r="BF40" s="957">
        <f>B40</f>
        <v>15</v>
      </c>
    </row>
    <row r="41" spans="1:58">
      <c r="A41" s="799">
        <f>A40+1</f>
        <v>16</v>
      </c>
      <c r="B41" s="782">
        <f t="shared" ref="B41:B43" si="50">B40+1</f>
        <v>16</v>
      </c>
      <c r="C41" s="55" t="s">
        <v>1190</v>
      </c>
      <c r="D41" s="1160">
        <v>221</v>
      </c>
      <c r="E41" s="1240">
        <f>2*D41</f>
        <v>442</v>
      </c>
      <c r="F41" s="1164">
        <f>2*224</f>
        <v>448</v>
      </c>
      <c r="G41" s="1248">
        <f>1.15*F41</f>
        <v>515.19999999999993</v>
      </c>
      <c r="H41" s="901">
        <f>0.23*E41</f>
        <v>101.66000000000001</v>
      </c>
      <c r="I41" s="902">
        <f>0.5*(H41*1.1)</f>
        <v>55.913000000000011</v>
      </c>
      <c r="J41" s="1069">
        <v>155</v>
      </c>
      <c r="K41" s="1164">
        <v>15</v>
      </c>
      <c r="L41" s="1164">
        <v>240</v>
      </c>
      <c r="M41" s="1164">
        <v>15</v>
      </c>
      <c r="N41" s="1164">
        <f>102-44</f>
        <v>58</v>
      </c>
      <c r="O41" s="1164" t="s">
        <v>73</v>
      </c>
      <c r="P41" s="1164" t="s">
        <v>73</v>
      </c>
      <c r="Q41" s="1164">
        <f>SUM(J41:P41)</f>
        <v>483</v>
      </c>
      <c r="R41" s="680">
        <f>2*Q41</f>
        <v>966</v>
      </c>
      <c r="S41" s="498">
        <f t="shared" ref="S41:S43" si="51">R41+(2*71)</f>
        <v>1108</v>
      </c>
      <c r="T41" s="662">
        <v>30</v>
      </c>
      <c r="U41" s="676">
        <v>10</v>
      </c>
      <c r="V41" s="676">
        <v>62</v>
      </c>
      <c r="W41" s="676">
        <v>0</v>
      </c>
      <c r="X41" s="662">
        <f>SUM(T41:W41)</f>
        <v>102</v>
      </c>
      <c r="Y41" s="513">
        <f>2*X41</f>
        <v>204</v>
      </c>
      <c r="Z41" s="490">
        <f>Y41+(23)</f>
        <v>227</v>
      </c>
      <c r="AA41" s="833">
        <f>Z41-H41</f>
        <v>125.33999999999999</v>
      </c>
      <c r="AB41" s="833">
        <f>Z41-I41</f>
        <v>171.08699999999999</v>
      </c>
      <c r="AC41" s="1069">
        <f>(199-48)+30</f>
        <v>181</v>
      </c>
      <c r="AD41" s="889">
        <f t="shared" si="49"/>
        <v>71.8095</v>
      </c>
      <c r="AE41" s="675">
        <f>X41-(V41)+AD41</f>
        <v>111.8095</v>
      </c>
      <c r="AF41" s="682">
        <f>2*AE41</f>
        <v>223.619</v>
      </c>
      <c r="AG41" s="478">
        <f>AF41+(23)</f>
        <v>246.619</v>
      </c>
      <c r="AH41" s="685">
        <f>AG41-I41</f>
        <v>190.70599999999999</v>
      </c>
      <c r="AI41" s="616" t="s">
        <v>397</v>
      </c>
      <c r="AJ41" s="616">
        <v>58</v>
      </c>
      <c r="AK41" s="616">
        <f>(2*AJ41)+(2*71)+(2*45)</f>
        <v>348</v>
      </c>
      <c r="AL41" s="699">
        <f>S41-AK41</f>
        <v>760</v>
      </c>
      <c r="AM41" s="833">
        <v>31</v>
      </c>
      <c r="AN41" s="480">
        <f>213+(1*23)+AM41</f>
        <v>267</v>
      </c>
      <c r="AO41" s="472">
        <f>Z41-AN41</f>
        <v>-40</v>
      </c>
      <c r="AP41" s="481"/>
      <c r="AQ41" s="471" t="s">
        <v>62</v>
      </c>
      <c r="AR41" s="706">
        <f>H41</f>
        <v>101.66000000000001</v>
      </c>
      <c r="AS41" s="706">
        <f>Z41</f>
        <v>227</v>
      </c>
      <c r="AT41" s="706">
        <f>AN41</f>
        <v>267</v>
      </c>
      <c r="AU41" s="705">
        <f>S41-G41</f>
        <v>592.80000000000007</v>
      </c>
      <c r="AV41" s="705">
        <f>AL41</f>
        <v>760</v>
      </c>
      <c r="AW41" s="1274"/>
      <c r="BF41" s="957">
        <f>B41</f>
        <v>16</v>
      </c>
    </row>
    <row r="42" spans="1:58">
      <c r="A42" s="799">
        <f t="shared" ref="A42:A43" si="52">A41+1</f>
        <v>17</v>
      </c>
      <c r="B42" s="782">
        <f t="shared" si="50"/>
        <v>17</v>
      </c>
      <c r="C42" s="55" t="s">
        <v>1191</v>
      </c>
      <c r="D42" s="1160">
        <v>443</v>
      </c>
      <c r="E42" s="1240">
        <f>2*D42</f>
        <v>886</v>
      </c>
      <c r="F42" s="1164">
        <f>2*457</f>
        <v>914</v>
      </c>
      <c r="G42" s="1248">
        <f>1.15*F42</f>
        <v>1051.0999999999999</v>
      </c>
      <c r="H42" s="901">
        <f>0.23*E42</f>
        <v>203.78</v>
      </c>
      <c r="I42" s="902">
        <f>0.5*(H42*1.1)</f>
        <v>112.07900000000001</v>
      </c>
      <c r="J42" s="1069">
        <v>155</v>
      </c>
      <c r="K42" s="1164">
        <v>15</v>
      </c>
      <c r="L42" s="1164">
        <v>240</v>
      </c>
      <c r="M42" s="1164">
        <v>15</v>
      </c>
      <c r="N42" s="1164">
        <f>183-102</f>
        <v>81</v>
      </c>
      <c r="O42" s="1164">
        <f>15+160</f>
        <v>175</v>
      </c>
      <c r="P42" s="1164" t="s">
        <v>73</v>
      </c>
      <c r="Q42" s="1164">
        <f>SUM(J42:P42)</f>
        <v>681</v>
      </c>
      <c r="R42" s="680">
        <f>2*Q42</f>
        <v>1362</v>
      </c>
      <c r="S42" s="498">
        <f t="shared" si="51"/>
        <v>1504</v>
      </c>
      <c r="T42" s="662">
        <v>30</v>
      </c>
      <c r="U42" s="676">
        <v>10</v>
      </c>
      <c r="V42" s="676">
        <v>64</v>
      </c>
      <c r="W42" s="676">
        <v>13</v>
      </c>
      <c r="X42" s="662">
        <f>SUM(T42:W42)</f>
        <v>117</v>
      </c>
      <c r="Y42" s="513">
        <f>2*X42</f>
        <v>234</v>
      </c>
      <c r="Z42" s="490">
        <f>Y42+(23)</f>
        <v>257</v>
      </c>
      <c r="AA42" s="833">
        <f>Z42-H42</f>
        <v>53.22</v>
      </c>
      <c r="AB42" s="833">
        <f>Z42-I42</f>
        <v>144.92099999999999</v>
      </c>
      <c r="AC42" s="1069">
        <f>306-199+30</f>
        <v>137</v>
      </c>
      <c r="AD42" s="889">
        <f t="shared" si="49"/>
        <v>62.591499999999996</v>
      </c>
      <c r="AE42" s="675">
        <f>X42-(V42)+AD42</f>
        <v>115.5915</v>
      </c>
      <c r="AF42" s="682">
        <f>2*AE42</f>
        <v>231.18299999999999</v>
      </c>
      <c r="AG42" s="478">
        <f>AF42+(23)</f>
        <v>254.18299999999999</v>
      </c>
      <c r="AH42" s="685">
        <f>AG42-I42</f>
        <v>142.10399999999998</v>
      </c>
      <c r="AI42" s="616" t="s">
        <v>398</v>
      </c>
      <c r="AJ42" s="616">
        <v>105</v>
      </c>
      <c r="AK42" s="616">
        <f>(2*AJ42)+(2*71)+(2*45)</f>
        <v>442</v>
      </c>
      <c r="AL42" s="699">
        <f>S42-AK42</f>
        <v>1062</v>
      </c>
      <c r="AM42" s="833">
        <v>31</v>
      </c>
      <c r="AN42" s="480">
        <f>300+(1*23)+AM42</f>
        <v>354</v>
      </c>
      <c r="AO42" s="472">
        <f>Z42-AN42</f>
        <v>-97</v>
      </c>
      <c r="AP42" s="481"/>
      <c r="AQ42" s="7" t="s">
        <v>1213</v>
      </c>
      <c r="AR42" s="706">
        <f>H42</f>
        <v>203.78</v>
      </c>
      <c r="AS42" s="706">
        <f>Z42</f>
        <v>257</v>
      </c>
      <c r="AT42" s="706">
        <f>AN42</f>
        <v>354</v>
      </c>
      <c r="AU42" s="705">
        <f>S42-G42</f>
        <v>452.90000000000009</v>
      </c>
      <c r="AV42" s="705">
        <f>AL42</f>
        <v>1062</v>
      </c>
      <c r="AW42" s="1274"/>
      <c r="BF42" s="957">
        <f>B42</f>
        <v>17</v>
      </c>
    </row>
    <row r="43" spans="1:58">
      <c r="A43" s="799">
        <f t="shared" si="52"/>
        <v>18</v>
      </c>
      <c r="B43" s="782">
        <f t="shared" si="50"/>
        <v>18</v>
      </c>
      <c r="C43" s="55" t="s">
        <v>1192</v>
      </c>
      <c r="D43" s="1160">
        <v>529</v>
      </c>
      <c r="E43" s="1241">
        <f>2*D43</f>
        <v>1058</v>
      </c>
      <c r="F43" s="1248">
        <f>2*545</f>
        <v>1090</v>
      </c>
      <c r="G43" s="1248">
        <f>1.15*F43</f>
        <v>1253.5</v>
      </c>
      <c r="H43" s="901">
        <f t="shared" ref="H43" si="53">0.23*E43</f>
        <v>243.34</v>
      </c>
      <c r="I43" s="902">
        <f>0.5*(H43*1.1)</f>
        <v>133.83700000000002</v>
      </c>
      <c r="J43" s="1069">
        <v>155</v>
      </c>
      <c r="K43" s="1164">
        <v>15</v>
      </c>
      <c r="L43" s="1164">
        <v>240</v>
      </c>
      <c r="M43" s="1164">
        <v>15</v>
      </c>
      <c r="N43" s="1164">
        <f>183-102</f>
        <v>81</v>
      </c>
      <c r="O43" s="1164">
        <f>15+160</f>
        <v>175</v>
      </c>
      <c r="P43" s="1164">
        <f>30+170</f>
        <v>200</v>
      </c>
      <c r="Q43" s="1164">
        <f t="shared" ref="Q43" si="54">SUM(J43:P43)</f>
        <v>881</v>
      </c>
      <c r="R43" s="680">
        <f>2*Q43</f>
        <v>1762</v>
      </c>
      <c r="S43" s="498">
        <f t="shared" si="51"/>
        <v>1904</v>
      </c>
      <c r="T43" s="662">
        <v>30</v>
      </c>
      <c r="U43" s="676">
        <v>10</v>
      </c>
      <c r="V43" s="676">
        <v>64</v>
      </c>
      <c r="W43" s="676">
        <f>13+36</f>
        <v>49</v>
      </c>
      <c r="X43" s="662">
        <f>SUM(T43:W43)</f>
        <v>153</v>
      </c>
      <c r="Y43" s="513">
        <f>2*X43</f>
        <v>306</v>
      </c>
      <c r="Z43" s="490">
        <f>Y43+(23)</f>
        <v>329</v>
      </c>
      <c r="AA43" s="833">
        <f>Z43-H43</f>
        <v>85.66</v>
      </c>
      <c r="AB43" s="833">
        <f>Z43-I43</f>
        <v>195.16299999999998</v>
      </c>
      <c r="AC43" s="1069">
        <f>306-199+30</f>
        <v>137</v>
      </c>
      <c r="AD43" s="889">
        <f t="shared" si="49"/>
        <v>62.591499999999996</v>
      </c>
      <c r="AE43" s="675">
        <f>X43-(V43)+AD43</f>
        <v>151.5915</v>
      </c>
      <c r="AF43" s="682">
        <f>2*AE43</f>
        <v>303.18299999999999</v>
      </c>
      <c r="AG43" s="478">
        <f>AF43+(23)</f>
        <v>326.18299999999999</v>
      </c>
      <c r="AH43" s="685">
        <f>AG43-I43</f>
        <v>192.34599999999998</v>
      </c>
      <c r="AI43" s="616" t="s">
        <v>399</v>
      </c>
      <c r="AJ43" s="616">
        <v>210</v>
      </c>
      <c r="AK43" s="616">
        <f>(2*AJ43)+(2*71)+(2*45)</f>
        <v>652</v>
      </c>
      <c r="AL43" s="699">
        <f>S43-AK43</f>
        <v>1252</v>
      </c>
      <c r="AM43" s="833">
        <v>31</v>
      </c>
      <c r="AN43" s="480">
        <f>364+(1*23)+AM43</f>
        <v>418</v>
      </c>
      <c r="AO43" s="472">
        <f>Z43-AN43</f>
        <v>-89</v>
      </c>
      <c r="AP43" s="481"/>
      <c r="AQ43" s="471" t="s">
        <v>64</v>
      </c>
      <c r="AR43" s="706">
        <f>H43</f>
        <v>243.34</v>
      </c>
      <c r="AS43" s="706">
        <f>Z43</f>
        <v>329</v>
      </c>
      <c r="AT43" s="706">
        <f>AN43</f>
        <v>418</v>
      </c>
      <c r="AU43" s="705">
        <f>S43-G43</f>
        <v>650.5</v>
      </c>
      <c r="AV43" s="705">
        <f>AL43</f>
        <v>1252</v>
      </c>
      <c r="AW43" s="1274"/>
      <c r="BF43" s="957">
        <f>B43</f>
        <v>18</v>
      </c>
    </row>
    <row r="44" spans="1:58" ht="296" customHeight="1">
      <c r="A44" s="797"/>
      <c r="B44" s="464"/>
      <c r="D44" s="1427" t="s">
        <v>1116</v>
      </c>
      <c r="E44" s="1399"/>
      <c r="F44" s="565" t="s">
        <v>1117</v>
      </c>
      <c r="G44" s="1215" t="s">
        <v>1085</v>
      </c>
      <c r="H44" s="1210" t="s">
        <v>1086</v>
      </c>
      <c r="I44" s="844"/>
      <c r="J44" s="1208" t="s">
        <v>1118</v>
      </c>
      <c r="K44" s="1062" t="s">
        <v>1107</v>
      </c>
      <c r="L44" s="1209" t="s">
        <v>250</v>
      </c>
      <c r="M44" s="1062" t="s">
        <v>248</v>
      </c>
      <c r="N44" s="1062" t="s">
        <v>1109</v>
      </c>
      <c r="O44" s="1209" t="s">
        <v>1111</v>
      </c>
      <c r="P44" s="1212" t="s">
        <v>1119</v>
      </c>
      <c r="Q44" s="12"/>
      <c r="R44" s="23"/>
      <c r="S44" s="1038" t="s">
        <v>1159</v>
      </c>
      <c r="T44" s="1208" t="s">
        <v>1142</v>
      </c>
      <c r="U44" s="1253" t="s">
        <v>765</v>
      </c>
      <c r="V44" s="1063" t="s">
        <v>130</v>
      </c>
      <c r="W44" s="1212" t="s">
        <v>1121</v>
      </c>
      <c r="Y44" s="23"/>
      <c r="Z44" s="1230" t="s">
        <v>1148</v>
      </c>
      <c r="AA44" s="143"/>
      <c r="AB44" s="1036" t="s">
        <v>220</v>
      </c>
      <c r="AC44" s="1072" t="s">
        <v>1131</v>
      </c>
      <c r="AD44" s="1021" t="s">
        <v>1094</v>
      </c>
      <c r="AE44" s="94"/>
      <c r="AG44" s="1230" t="s">
        <v>1148</v>
      </c>
      <c r="AH44" s="485"/>
      <c r="AI44" s="1259" t="s">
        <v>1122</v>
      </c>
      <c r="AJ44" s="1273" t="s">
        <v>1178</v>
      </c>
      <c r="AK44" s="1205" t="s">
        <v>1033</v>
      </c>
      <c r="AL44" s="36"/>
      <c r="AM44" s="36"/>
      <c r="AN44" s="540" t="s">
        <v>46</v>
      </c>
      <c r="AP44" s="465"/>
    </row>
    <row r="45" spans="1:58">
      <c r="AI45" s="837"/>
      <c r="AP45" s="465"/>
      <c r="AW45" s="1278"/>
    </row>
    <row r="46" spans="1:58">
      <c r="A46" s="12"/>
      <c r="B46" s="960" t="s">
        <v>33</v>
      </c>
      <c r="AI46" s="837"/>
      <c r="AK46" s="12"/>
      <c r="AP46" s="465"/>
    </row>
    <row r="47" spans="1:58" s="1122" customFormat="1" ht="30" customHeight="1">
      <c r="C47" s="1117" t="s">
        <v>93</v>
      </c>
      <c r="D47" s="1524" t="s">
        <v>39</v>
      </c>
      <c r="E47" s="1524"/>
      <c r="F47" s="1524"/>
      <c r="G47" s="1524"/>
      <c r="H47" s="1524"/>
      <c r="I47" s="1525"/>
      <c r="J47" s="1523" t="s">
        <v>104</v>
      </c>
      <c r="K47" s="1448"/>
      <c r="L47" s="1653"/>
      <c r="M47" s="1653"/>
      <c r="N47" s="1653"/>
      <c r="O47" s="1653"/>
      <c r="P47" s="1653"/>
      <c r="Q47" s="1653"/>
      <c r="R47" s="1648" t="s">
        <v>22</v>
      </c>
      <c r="S47" s="1650"/>
      <c r="T47" s="1409" t="s">
        <v>136</v>
      </c>
      <c r="U47" s="1410"/>
      <c r="V47" s="1410"/>
      <c r="W47" s="1410"/>
      <c r="X47" s="1410"/>
      <c r="Y47" s="1411" t="s">
        <v>133</v>
      </c>
      <c r="Z47" s="1651"/>
      <c r="AA47" s="1254"/>
      <c r="AB47" s="1254"/>
      <c r="AC47" s="1645" t="s">
        <v>101</v>
      </c>
      <c r="AD47" s="1646"/>
      <c r="AE47" s="1647"/>
      <c r="AF47" s="1584" t="s">
        <v>23</v>
      </c>
      <c r="AG47" s="1642"/>
      <c r="AH47" s="1255"/>
      <c r="AI47" s="1417" t="s">
        <v>25</v>
      </c>
      <c r="AJ47" s="1700"/>
      <c r="AK47" s="1700"/>
      <c r="AL47" s="1700"/>
      <c r="AM47" s="1700"/>
      <c r="AN47" s="1702"/>
      <c r="AO47" s="1256"/>
      <c r="AP47" s="1257"/>
      <c r="AV47" s="1317" t="s">
        <v>82</v>
      </c>
    </row>
    <row r="48" spans="1:58">
      <c r="B48" s="8"/>
      <c r="C48" s="505"/>
      <c r="D48" s="173">
        <v>1</v>
      </c>
      <c r="E48" s="134">
        <v>2</v>
      </c>
      <c r="F48" s="134">
        <v>3</v>
      </c>
      <c r="G48" s="134">
        <v>4</v>
      </c>
      <c r="H48" s="134">
        <v>5</v>
      </c>
      <c r="I48" s="133">
        <v>6</v>
      </c>
      <c r="J48" s="173">
        <v>7</v>
      </c>
      <c r="K48" s="364">
        <v>8</v>
      </c>
      <c r="L48" s="134">
        <v>9</v>
      </c>
      <c r="M48" s="134">
        <v>10</v>
      </c>
      <c r="N48" s="134">
        <v>11</v>
      </c>
      <c r="O48" s="134">
        <v>12</v>
      </c>
      <c r="P48" s="134">
        <v>13</v>
      </c>
      <c r="Q48" s="133">
        <v>14</v>
      </c>
      <c r="R48" s="371">
        <v>15</v>
      </c>
      <c r="S48" s="371">
        <v>16</v>
      </c>
      <c r="T48" s="8">
        <v>17</v>
      </c>
      <c r="U48" s="8">
        <v>18</v>
      </c>
      <c r="V48" s="8">
        <v>19</v>
      </c>
      <c r="W48" s="8">
        <v>20</v>
      </c>
      <c r="X48" s="8">
        <v>21</v>
      </c>
      <c r="Y48" s="151">
        <v>22</v>
      </c>
      <c r="Z48" s="365">
        <v>23</v>
      </c>
      <c r="AA48" s="371">
        <v>24</v>
      </c>
      <c r="AB48" s="365">
        <v>25</v>
      </c>
      <c r="AC48" s="371">
        <v>26</v>
      </c>
      <c r="AD48" s="371">
        <v>27</v>
      </c>
      <c r="AE48" s="371">
        <v>28</v>
      </c>
      <c r="AF48" s="151">
        <v>29</v>
      </c>
      <c r="AG48" s="365">
        <v>30</v>
      </c>
      <c r="AH48" s="133">
        <v>31</v>
      </c>
      <c r="AI48" s="134">
        <f>AH48+1</f>
        <v>32</v>
      </c>
      <c r="AJ48" s="134">
        <f>AI48+1</f>
        <v>33</v>
      </c>
      <c r="AK48" s="8">
        <v>33</v>
      </c>
      <c r="AL48" s="8">
        <v>34</v>
      </c>
      <c r="AM48" s="134">
        <f>AL48+1</f>
        <v>35</v>
      </c>
      <c r="AN48" s="133">
        <f>AM48+1</f>
        <v>36</v>
      </c>
      <c r="AO48" s="133">
        <f>AN48+1</f>
        <v>37</v>
      </c>
      <c r="AP48" s="531"/>
    </row>
    <row r="49" spans="1:58" ht="130" customHeight="1">
      <c r="B49" s="371"/>
      <c r="C49" s="1260" t="s">
        <v>1128</v>
      </c>
      <c r="D49" s="1026" t="s">
        <v>1123</v>
      </c>
      <c r="E49" s="1025" t="s">
        <v>482</v>
      </c>
      <c r="F49" s="1025" t="s">
        <v>407</v>
      </c>
      <c r="G49" s="1025" t="s">
        <v>408</v>
      </c>
      <c r="H49" s="418" t="s">
        <v>409</v>
      </c>
      <c r="I49" s="820" t="s">
        <v>410</v>
      </c>
      <c r="J49" s="1025" t="s">
        <v>1224</v>
      </c>
      <c r="K49" s="1054" t="s">
        <v>1215</v>
      </c>
      <c r="L49" s="1054" t="s">
        <v>1216</v>
      </c>
      <c r="M49" s="1025" t="s">
        <v>1218</v>
      </c>
      <c r="N49" s="1054" t="s">
        <v>483</v>
      </c>
      <c r="O49" s="1025" t="s">
        <v>1127</v>
      </c>
      <c r="P49" s="1054" t="s">
        <v>1219</v>
      </c>
      <c r="Q49" s="1261" t="s">
        <v>418</v>
      </c>
      <c r="R49" s="488" t="s">
        <v>447</v>
      </c>
      <c r="S49" s="322" t="s">
        <v>448</v>
      </c>
      <c r="T49" s="1101" t="s">
        <v>1221</v>
      </c>
      <c r="U49" s="1101" t="s">
        <v>1222</v>
      </c>
      <c r="V49" s="1101" t="s">
        <v>1129</v>
      </c>
      <c r="W49" s="1201" t="s">
        <v>484</v>
      </c>
      <c r="X49" s="1201" t="s">
        <v>453</v>
      </c>
      <c r="Y49" s="175" t="s">
        <v>425</v>
      </c>
      <c r="Z49" s="545" t="s">
        <v>426</v>
      </c>
      <c r="AA49" s="819" t="s">
        <v>427</v>
      </c>
      <c r="AB49" s="819" t="s">
        <v>428</v>
      </c>
      <c r="AC49" s="1026" t="s">
        <v>429</v>
      </c>
      <c r="AD49" s="1238" t="s">
        <v>480</v>
      </c>
      <c r="AE49" s="1258" t="s">
        <v>481</v>
      </c>
      <c r="AF49" s="154" t="s">
        <v>432</v>
      </c>
      <c r="AG49" s="155" t="s">
        <v>433</v>
      </c>
      <c r="AH49" s="1238" t="s">
        <v>434</v>
      </c>
      <c r="AI49" s="1087" t="s">
        <v>346</v>
      </c>
      <c r="AJ49" s="1055" t="s">
        <v>435</v>
      </c>
      <c r="AK49" s="1074" t="s">
        <v>0</v>
      </c>
      <c r="AL49" s="1074" t="s">
        <v>27</v>
      </c>
      <c r="AM49" s="819" t="s">
        <v>402</v>
      </c>
      <c r="AN49" s="820" t="s">
        <v>343</v>
      </c>
      <c r="AO49" s="570" t="s">
        <v>436</v>
      </c>
      <c r="AP49" s="534"/>
      <c r="AQ49" s="1059" t="s">
        <v>283</v>
      </c>
      <c r="AR49" s="418" t="s">
        <v>438</v>
      </c>
      <c r="AS49" s="418" t="s">
        <v>439</v>
      </c>
      <c r="AT49" s="361" t="s">
        <v>440</v>
      </c>
      <c r="AU49" s="861" t="s">
        <v>403</v>
      </c>
      <c r="AV49" s="861" t="s">
        <v>746</v>
      </c>
      <c r="AW49" s="1111"/>
      <c r="BF49" s="978" t="s">
        <v>779</v>
      </c>
    </row>
    <row r="50" spans="1:58">
      <c r="A50" s="799">
        <f>A43+1</f>
        <v>19</v>
      </c>
      <c r="B50" s="784">
        <f>B43+1</f>
        <v>19</v>
      </c>
      <c r="C50" s="273" t="s">
        <v>1193</v>
      </c>
      <c r="D50" s="1051">
        <v>203</v>
      </c>
      <c r="E50" s="1049">
        <f>2*D50</f>
        <v>406</v>
      </c>
      <c r="F50" s="1049">
        <f>2*231</f>
        <v>462</v>
      </c>
      <c r="G50" s="1248">
        <f>1.15*F50</f>
        <v>531.29999999999995</v>
      </c>
      <c r="H50" s="26">
        <f>0.23*E50</f>
        <v>93.38000000000001</v>
      </c>
      <c r="I50" s="306">
        <f>0.5*(H50*1.1)</f>
        <v>51.359000000000009</v>
      </c>
      <c r="J50" s="1282">
        <v>262</v>
      </c>
      <c r="K50" s="948">
        <v>15</v>
      </c>
      <c r="L50" s="775">
        <f>183-125</f>
        <v>58</v>
      </c>
      <c r="M50" s="1058">
        <v>0</v>
      </c>
      <c r="N50" s="1058">
        <v>0</v>
      </c>
      <c r="O50" s="775" t="s">
        <v>73</v>
      </c>
      <c r="P50" s="775" t="s">
        <v>73</v>
      </c>
      <c r="Q50" s="948">
        <f>SUM(J50:P50)</f>
        <v>335</v>
      </c>
      <c r="R50" s="536">
        <f>2*Q50</f>
        <v>670</v>
      </c>
      <c r="S50" s="537">
        <f>R50+(2*71)</f>
        <v>812</v>
      </c>
      <c r="T50" s="687">
        <v>23</v>
      </c>
      <c r="U50" s="642">
        <v>59</v>
      </c>
      <c r="V50" s="1263" t="s">
        <v>73</v>
      </c>
      <c r="W50" s="642">
        <v>0</v>
      </c>
      <c r="X50" s="676">
        <f>SUM(T50:W50)</f>
        <v>82</v>
      </c>
      <c r="Y50" s="513">
        <f>2*X50</f>
        <v>164</v>
      </c>
      <c r="Z50" s="514">
        <f>Y50+(23)</f>
        <v>187</v>
      </c>
      <c r="AA50" s="666">
        <f>Z50-H50</f>
        <v>93.61999999999999</v>
      </c>
      <c r="AB50" s="666">
        <f>Z50-I50</f>
        <v>135.64099999999999</v>
      </c>
      <c r="AC50" s="1051">
        <f>306-199+30</f>
        <v>137</v>
      </c>
      <c r="AD50" s="667">
        <f t="shared" ref="AD50:AD53" si="55">33.89+(AC50*0.2095)</f>
        <v>62.591499999999996</v>
      </c>
      <c r="AE50" s="688">
        <f>X50-(U50)+AD50</f>
        <v>85.591499999999996</v>
      </c>
      <c r="AF50" s="681">
        <f>2*AE50</f>
        <v>171.18299999999999</v>
      </c>
      <c r="AG50" s="538">
        <f>AF50+(23)</f>
        <v>194.18299999999999</v>
      </c>
      <c r="AH50" s="685">
        <f>AG50-I50</f>
        <v>142.82399999999998</v>
      </c>
      <c r="AI50" s="948" t="s">
        <v>400</v>
      </c>
      <c r="AJ50" s="1285">
        <v>220</v>
      </c>
      <c r="AK50" s="616">
        <f>(2*AJ50)+(2*71)+(2*45)</f>
        <v>672</v>
      </c>
      <c r="AL50" s="699">
        <f>S50-AK50</f>
        <v>140</v>
      </c>
      <c r="AM50" s="833">
        <v>31</v>
      </c>
      <c r="AN50" s="93">
        <f>570+(1*23)+AM50</f>
        <v>624</v>
      </c>
      <c r="AO50" s="13">
        <f>Z50-AN50</f>
        <v>-437</v>
      </c>
      <c r="AP50" s="539"/>
      <c r="AQ50" s="273" t="s">
        <v>256</v>
      </c>
      <c r="AR50" s="706">
        <f>H50</f>
        <v>93.38000000000001</v>
      </c>
      <c r="AS50" s="706">
        <f>Z50</f>
        <v>187</v>
      </c>
      <c r="AT50" s="706">
        <f>AN50</f>
        <v>624</v>
      </c>
      <c r="AU50" s="705">
        <f>S50-G50</f>
        <v>280.70000000000005</v>
      </c>
      <c r="AV50" s="705">
        <f>AL50</f>
        <v>140</v>
      </c>
      <c r="AW50" s="1286"/>
      <c r="BF50" s="957">
        <f>B50</f>
        <v>19</v>
      </c>
    </row>
    <row r="51" spans="1:58">
      <c r="A51" s="799">
        <f>A50+1</f>
        <v>20</v>
      </c>
      <c r="B51" s="784">
        <f>B50+1</f>
        <v>20</v>
      </c>
      <c r="C51" s="273" t="s">
        <v>1194</v>
      </c>
      <c r="D51" s="1051">
        <v>164</v>
      </c>
      <c r="E51" s="1049">
        <f>2*D51</f>
        <v>328</v>
      </c>
      <c r="F51" s="1049">
        <f>2*214</f>
        <v>428</v>
      </c>
      <c r="G51" s="1248">
        <f>1.15*F51</f>
        <v>492.2</v>
      </c>
      <c r="H51" s="26">
        <f>0.23*E51</f>
        <v>75.44</v>
      </c>
      <c r="I51" s="306">
        <f>0.5*(H51*1.1)</f>
        <v>41.492000000000004</v>
      </c>
      <c r="J51" s="1282">
        <v>262</v>
      </c>
      <c r="K51" s="948">
        <v>15</v>
      </c>
      <c r="L51" s="948">
        <f>(125-102)</f>
        <v>23</v>
      </c>
      <c r="M51" s="535">
        <v>15</v>
      </c>
      <c r="N51" s="775">
        <v>0</v>
      </c>
      <c r="O51" s="775" t="s">
        <v>73</v>
      </c>
      <c r="P51" s="775">
        <v>240</v>
      </c>
      <c r="Q51" s="948">
        <f>SUM(J51:P51)</f>
        <v>555</v>
      </c>
      <c r="R51" s="536">
        <f>2*Q51</f>
        <v>1110</v>
      </c>
      <c r="S51" s="537">
        <f>R51+(2*71)</f>
        <v>1252</v>
      </c>
      <c r="T51" s="687">
        <v>20</v>
      </c>
      <c r="U51" s="642">
        <v>40</v>
      </c>
      <c r="V51" s="642">
        <v>10</v>
      </c>
      <c r="W51" s="642">
        <v>0</v>
      </c>
      <c r="X51" s="662">
        <f>SUM(T51:W51)</f>
        <v>70</v>
      </c>
      <c r="Y51" s="513">
        <f>2*X51</f>
        <v>140</v>
      </c>
      <c r="Z51" s="514">
        <f>Y51+(23)</f>
        <v>163</v>
      </c>
      <c r="AA51" s="666">
        <f>Z51-H51</f>
        <v>87.56</v>
      </c>
      <c r="AB51" s="666">
        <f>Z51-I51</f>
        <v>121.508</v>
      </c>
      <c r="AC51" s="1272">
        <v>0</v>
      </c>
      <c r="AD51" s="667">
        <v>0</v>
      </c>
      <c r="AE51" s="688">
        <f>X51-(U51)+AD51</f>
        <v>30</v>
      </c>
      <c r="AF51" s="681">
        <f>2*AE51</f>
        <v>60</v>
      </c>
      <c r="AG51" s="538">
        <f>AF51+(23)</f>
        <v>83</v>
      </c>
      <c r="AH51" s="685">
        <f>AG51-I51</f>
        <v>41.507999999999996</v>
      </c>
      <c r="AI51" s="948" t="s">
        <v>1214</v>
      </c>
      <c r="AJ51" s="1285">
        <v>220</v>
      </c>
      <c r="AK51" s="616">
        <f>(2*AJ51)+(2*71)+(2*45)</f>
        <v>672</v>
      </c>
      <c r="AL51" s="699">
        <f>S51-AK51</f>
        <v>580</v>
      </c>
      <c r="AM51" s="833">
        <v>31</v>
      </c>
      <c r="AN51" s="93">
        <f>510+(1*23)+AM51</f>
        <v>564</v>
      </c>
      <c r="AO51" s="13">
        <f>Z51-AN51</f>
        <v>-401</v>
      </c>
      <c r="AP51" s="539"/>
      <c r="AQ51" s="273" t="s">
        <v>257</v>
      </c>
      <c r="AR51" s="706">
        <f t="shared" ref="AR51:AR53" si="56">H51</f>
        <v>75.44</v>
      </c>
      <c r="AS51" s="706">
        <f t="shared" ref="AS51:AS53" si="57">Z51</f>
        <v>163</v>
      </c>
      <c r="AT51" s="706">
        <f t="shared" ref="AT51:AT53" si="58">AN51</f>
        <v>564</v>
      </c>
      <c r="AU51" s="705">
        <f t="shared" ref="AU51:AU53" si="59">S51-G51</f>
        <v>759.8</v>
      </c>
      <c r="AV51" s="705">
        <f t="shared" ref="AV51:AV53" si="60">AL51</f>
        <v>580</v>
      </c>
      <c r="AW51" s="1286"/>
      <c r="BF51" s="957">
        <f>B51</f>
        <v>20</v>
      </c>
    </row>
    <row r="52" spans="1:58">
      <c r="A52" s="799">
        <f t="shared" ref="A52:A53" si="61">A51+1</f>
        <v>21</v>
      </c>
      <c r="B52" s="784">
        <f t="shared" ref="B52" si="62">B51+1</f>
        <v>21</v>
      </c>
      <c r="C52" s="273" t="s">
        <v>1195</v>
      </c>
      <c r="D52" s="1051">
        <v>188</v>
      </c>
      <c r="E52" s="1049">
        <f>2*D52</f>
        <v>376</v>
      </c>
      <c r="F52" s="1049">
        <f>2*226</f>
        <v>452</v>
      </c>
      <c r="G52" s="1248">
        <f>1.15*F52</f>
        <v>519.79999999999995</v>
      </c>
      <c r="H52" s="26">
        <f>0.23*E52</f>
        <v>86.48</v>
      </c>
      <c r="I52" s="306">
        <f>0.5*(H52*1.1)</f>
        <v>47.564000000000007</v>
      </c>
      <c r="J52" s="1282">
        <v>262</v>
      </c>
      <c r="K52" s="1105">
        <v>15</v>
      </c>
      <c r="L52" s="775">
        <v>125</v>
      </c>
      <c r="M52" s="1058">
        <v>0</v>
      </c>
      <c r="N52" s="1058">
        <v>0</v>
      </c>
      <c r="O52" s="1058" t="s">
        <v>73</v>
      </c>
      <c r="P52" s="1058" t="s">
        <v>73</v>
      </c>
      <c r="Q52" s="1262">
        <f>SUM(J52:P52)</f>
        <v>402</v>
      </c>
      <c r="R52" s="686">
        <f>2*Q52</f>
        <v>804</v>
      </c>
      <c r="S52" s="537">
        <f>R52+(2*71)</f>
        <v>946</v>
      </c>
      <c r="T52" s="687">
        <v>20</v>
      </c>
      <c r="U52" s="642">
        <v>74</v>
      </c>
      <c r="V52" s="1263" t="s">
        <v>73</v>
      </c>
      <c r="W52" s="642">
        <v>0</v>
      </c>
      <c r="X52" s="676">
        <f>SUM(T52:W52)</f>
        <v>94</v>
      </c>
      <c r="Y52" s="513">
        <f>2*X52</f>
        <v>188</v>
      </c>
      <c r="Z52" s="514">
        <f>Y52+(23)</f>
        <v>211</v>
      </c>
      <c r="AA52" s="666">
        <f>Z52-H52</f>
        <v>124.52</v>
      </c>
      <c r="AB52" s="666">
        <f>Z52-I52</f>
        <v>163.43599999999998</v>
      </c>
      <c r="AC52" s="1051">
        <f>199+30</f>
        <v>229</v>
      </c>
      <c r="AD52" s="667">
        <f t="shared" si="55"/>
        <v>81.865499999999997</v>
      </c>
      <c r="AE52" s="688">
        <f>X52-(U52)+AD52</f>
        <v>101.8655</v>
      </c>
      <c r="AF52" s="681">
        <f>2*AE52</f>
        <v>203.73099999999999</v>
      </c>
      <c r="AG52" s="538">
        <f>AF52+(23)</f>
        <v>226.73099999999999</v>
      </c>
      <c r="AH52" s="685">
        <f>AG52-I52</f>
        <v>179.16699999999997</v>
      </c>
      <c r="AI52" s="948" t="s">
        <v>351</v>
      </c>
      <c r="AJ52" s="1285">
        <v>60</v>
      </c>
      <c r="AK52" s="616">
        <f>(2*AJ52)+(2*71)+(2*45)</f>
        <v>352</v>
      </c>
      <c r="AL52" s="699">
        <f>S52-AK52</f>
        <v>594</v>
      </c>
      <c r="AM52" s="833">
        <v>31</v>
      </c>
      <c r="AN52" s="93">
        <f>523+(1*23)+AM52</f>
        <v>577</v>
      </c>
      <c r="AO52" s="13">
        <f>Z52-AN52</f>
        <v>-366</v>
      </c>
      <c r="AP52" s="539"/>
      <c r="AQ52" s="273" t="s">
        <v>1187</v>
      </c>
      <c r="AR52" s="706">
        <f t="shared" si="56"/>
        <v>86.48</v>
      </c>
      <c r="AS52" s="706">
        <f t="shared" si="57"/>
        <v>211</v>
      </c>
      <c r="AT52" s="706">
        <f t="shared" si="58"/>
        <v>577</v>
      </c>
      <c r="AU52" s="705">
        <f t="shared" si="59"/>
        <v>426.20000000000005</v>
      </c>
      <c r="AV52" s="705">
        <f t="shared" si="60"/>
        <v>594</v>
      </c>
      <c r="AW52" s="1286"/>
      <c r="BF52" s="957">
        <f>B52</f>
        <v>21</v>
      </c>
    </row>
    <row r="53" spans="1:58">
      <c r="A53" s="799">
        <f t="shared" si="61"/>
        <v>22</v>
      </c>
      <c r="B53" s="784">
        <f>B52+1</f>
        <v>22</v>
      </c>
      <c r="C53" s="273" t="s">
        <v>1196</v>
      </c>
      <c r="D53" s="1051">
        <v>314</v>
      </c>
      <c r="E53" s="1049">
        <f>2*D53</f>
        <v>628</v>
      </c>
      <c r="F53" s="1049">
        <f>2*338</f>
        <v>676</v>
      </c>
      <c r="G53" s="1248">
        <f>1.15*F53</f>
        <v>777.4</v>
      </c>
      <c r="H53" s="26">
        <f t="shared" ref="H53" si="63">0.23*E53</f>
        <v>144.44</v>
      </c>
      <c r="I53" s="306">
        <f>0.5*(H53*1.1)</f>
        <v>79.442000000000007</v>
      </c>
      <c r="J53" s="1282">
        <v>262</v>
      </c>
      <c r="K53" s="1105">
        <v>15</v>
      </c>
      <c r="L53" s="775">
        <f>183-125</f>
        <v>58</v>
      </c>
      <c r="M53" s="571">
        <v>15</v>
      </c>
      <c r="N53" s="1058">
        <v>0</v>
      </c>
      <c r="O53" s="1058" t="s">
        <v>73</v>
      </c>
      <c r="P53" s="1058">
        <v>160</v>
      </c>
      <c r="Q53" s="1262">
        <f>SUM(J53:P53)</f>
        <v>510</v>
      </c>
      <c r="R53" s="686">
        <f>2*Q53</f>
        <v>1020</v>
      </c>
      <c r="S53" s="537">
        <f>R53+(2*71)</f>
        <v>1162</v>
      </c>
      <c r="T53" s="687">
        <v>20</v>
      </c>
      <c r="U53" s="642">
        <v>59</v>
      </c>
      <c r="V53" s="687">
        <v>13</v>
      </c>
      <c r="W53" s="642">
        <v>0</v>
      </c>
      <c r="X53" s="676">
        <f>SUM(T53:W53)</f>
        <v>92</v>
      </c>
      <c r="Y53" s="513">
        <f>2*X53</f>
        <v>184</v>
      </c>
      <c r="Z53" s="514">
        <f>Y53+(23)</f>
        <v>207</v>
      </c>
      <c r="AA53" s="666">
        <f>Z53-H53</f>
        <v>62.56</v>
      </c>
      <c r="AB53" s="666">
        <f>Z53-I53</f>
        <v>127.55799999999999</v>
      </c>
      <c r="AC53" s="1051">
        <f>306-199+30</f>
        <v>137</v>
      </c>
      <c r="AD53" s="667">
        <f t="shared" si="55"/>
        <v>62.591499999999996</v>
      </c>
      <c r="AE53" s="688">
        <f>X53-(U53)+AD53</f>
        <v>95.591499999999996</v>
      </c>
      <c r="AF53" s="681">
        <f>2*AE53</f>
        <v>191.18299999999999</v>
      </c>
      <c r="AG53" s="538">
        <f>AF53+(23)</f>
        <v>214.18299999999999</v>
      </c>
      <c r="AH53" s="685">
        <f>AG53-I53</f>
        <v>134.74099999999999</v>
      </c>
      <c r="AI53" s="948" t="s">
        <v>345</v>
      </c>
      <c r="AJ53" s="1285">
        <v>74</v>
      </c>
      <c r="AK53" s="616">
        <f>(2*AJ53)+(2*71)+(2*45)</f>
        <v>380</v>
      </c>
      <c r="AL53" s="699">
        <f>S53-AK53</f>
        <v>782</v>
      </c>
      <c r="AM53" s="833">
        <v>31</v>
      </c>
      <c r="AN53" s="93">
        <f>373+(1*23)+AM53</f>
        <v>427</v>
      </c>
      <c r="AO53" s="13">
        <f>Z53-AN53</f>
        <v>-220</v>
      </c>
      <c r="AP53" s="539"/>
      <c r="AQ53" s="273" t="s">
        <v>1188</v>
      </c>
      <c r="AR53" s="706">
        <f t="shared" si="56"/>
        <v>144.44</v>
      </c>
      <c r="AS53" s="706">
        <f t="shared" si="57"/>
        <v>207</v>
      </c>
      <c r="AT53" s="706">
        <f t="shared" si="58"/>
        <v>427</v>
      </c>
      <c r="AU53" s="705">
        <f t="shared" si="59"/>
        <v>384.6</v>
      </c>
      <c r="AV53" s="705">
        <f t="shared" si="60"/>
        <v>782</v>
      </c>
      <c r="AW53" s="1286"/>
      <c r="BF53" s="957">
        <f>B53</f>
        <v>22</v>
      </c>
    </row>
    <row r="54" spans="1:58" ht="16" customHeight="1">
      <c r="B54" s="371"/>
      <c r="C54" s="1565"/>
      <c r="D54" s="1667" t="s">
        <v>1135</v>
      </c>
      <c r="E54" s="1668"/>
      <c r="F54" s="1563" t="s">
        <v>1124</v>
      </c>
      <c r="G54" s="1670" t="s">
        <v>1125</v>
      </c>
      <c r="H54" s="1637" t="s">
        <v>1086</v>
      </c>
      <c r="I54" s="1564"/>
      <c r="J54" s="1501" t="s">
        <v>1220</v>
      </c>
      <c r="K54" s="1658" t="s">
        <v>1126</v>
      </c>
      <c r="L54" s="1658" t="s">
        <v>1217</v>
      </c>
      <c r="M54" s="1658" t="s">
        <v>1011</v>
      </c>
      <c r="N54" s="1658" t="s">
        <v>254</v>
      </c>
      <c r="O54" s="1658" t="s">
        <v>1011</v>
      </c>
      <c r="P54" s="1659" t="s">
        <v>255</v>
      </c>
      <c r="Q54" s="801"/>
      <c r="R54" s="1431"/>
      <c r="S54" s="1655" t="s">
        <v>1165</v>
      </c>
      <c r="T54" s="1501" t="s">
        <v>1220</v>
      </c>
      <c r="U54" s="1654" t="s">
        <v>130</v>
      </c>
      <c r="V54" s="1666" t="s">
        <v>1223</v>
      </c>
      <c r="W54" s="163"/>
      <c r="Y54" s="23"/>
      <c r="Z54" s="1655" t="s">
        <v>1175</v>
      </c>
      <c r="AA54" s="1673"/>
      <c r="AB54" s="1614" t="s">
        <v>154</v>
      </c>
      <c r="AC54" s="1671" t="s">
        <v>1130</v>
      </c>
      <c r="AD54" s="1664" t="s">
        <v>135</v>
      </c>
      <c r="AE54" s="544"/>
      <c r="AF54" s="12"/>
      <c r="AG54" s="1655" t="s">
        <v>1175</v>
      </c>
      <c r="AH54" s="485"/>
      <c r="AI54" s="1660" t="s">
        <v>1132</v>
      </c>
      <c r="AJ54" s="1691" t="s">
        <v>1177</v>
      </c>
      <c r="AK54" s="1693" t="s">
        <v>252</v>
      </c>
      <c r="AL54" s="1079"/>
      <c r="AM54" s="36"/>
      <c r="AN54" s="1694" t="s">
        <v>1133</v>
      </c>
      <c r="AO54" s="23"/>
      <c r="AP54" s="465"/>
    </row>
    <row r="55" spans="1:58">
      <c r="B55" s="8"/>
      <c r="C55" s="1644"/>
      <c r="D55" s="1669"/>
      <c r="E55" s="1668"/>
      <c r="F55" s="1563"/>
      <c r="G55" s="1670"/>
      <c r="H55" s="1637"/>
      <c r="I55" s="1565"/>
      <c r="J55" s="1532"/>
      <c r="K55" s="1385"/>
      <c r="L55" s="1541"/>
      <c r="M55" s="1385"/>
      <c r="N55" s="1541"/>
      <c r="O55" s="1385"/>
      <c r="P55" s="1541"/>
      <c r="Q55" s="801"/>
      <c r="R55" s="1431"/>
      <c r="S55" s="1655"/>
      <c r="T55" s="1532"/>
      <c r="U55" s="1347"/>
      <c r="V55" s="1385"/>
      <c r="W55" s="163"/>
      <c r="Y55" s="23"/>
      <c r="Z55" s="1655"/>
      <c r="AA55" s="1674"/>
      <c r="AB55" s="1532"/>
      <c r="AC55" s="1672"/>
      <c r="AD55" s="1665"/>
      <c r="AE55" s="544"/>
      <c r="AF55" s="12"/>
      <c r="AG55" s="1655"/>
      <c r="AH55" s="485"/>
      <c r="AI55" s="1660"/>
      <c r="AJ55" s="1692"/>
      <c r="AK55" s="1692"/>
      <c r="AL55" s="1079"/>
      <c r="AM55" s="36"/>
      <c r="AN55" s="1695"/>
      <c r="AO55" s="23"/>
      <c r="AP55" s="465"/>
    </row>
    <row r="56" spans="1:58">
      <c r="B56" s="8"/>
      <c r="C56" s="1644"/>
      <c r="D56" s="1669"/>
      <c r="E56" s="1668"/>
      <c r="F56" s="1563"/>
      <c r="G56" s="1670"/>
      <c r="H56" s="1637"/>
      <c r="I56" s="1565"/>
      <c r="J56" s="1532"/>
      <c r="K56" s="1385"/>
      <c r="L56" s="1541"/>
      <c r="M56" s="1385"/>
      <c r="N56" s="1541"/>
      <c r="O56" s="1385"/>
      <c r="P56" s="1541"/>
      <c r="Q56" s="801"/>
      <c r="R56" s="1431"/>
      <c r="S56" s="1655"/>
      <c r="T56" s="1532"/>
      <c r="U56" s="1347"/>
      <c r="V56" s="1385"/>
      <c r="W56" s="163"/>
      <c r="Y56" s="23"/>
      <c r="Z56" s="1655"/>
      <c r="AA56" s="1674"/>
      <c r="AB56" s="1532"/>
      <c r="AC56" s="1672"/>
      <c r="AD56" s="1665"/>
      <c r="AE56" s="544"/>
      <c r="AF56" s="12"/>
      <c r="AG56" s="1655"/>
      <c r="AH56" s="485"/>
      <c r="AI56" s="1660"/>
      <c r="AJ56" s="1692"/>
      <c r="AK56" s="1692"/>
      <c r="AL56" s="1079"/>
      <c r="AM56" s="36"/>
      <c r="AN56" s="1695"/>
      <c r="AO56" s="23"/>
      <c r="AP56" s="465"/>
    </row>
    <row r="57" spans="1:58">
      <c r="B57" s="8"/>
      <c r="C57" s="1644"/>
      <c r="D57" s="1669"/>
      <c r="E57" s="1668"/>
      <c r="F57" s="1563"/>
      <c r="G57" s="1670"/>
      <c r="H57" s="1637"/>
      <c r="I57" s="1565"/>
      <c r="J57" s="1532"/>
      <c r="K57" s="1385"/>
      <c r="L57" s="1541"/>
      <c r="M57" s="1385"/>
      <c r="N57" s="1541"/>
      <c r="O57" s="1385"/>
      <c r="P57" s="1541"/>
      <c r="Q57" s="801"/>
      <c r="R57" s="1431"/>
      <c r="S57" s="1655"/>
      <c r="T57" s="1532"/>
      <c r="U57" s="1347"/>
      <c r="V57" s="1385"/>
      <c r="W57" s="163"/>
      <c r="Y57" s="23"/>
      <c r="Z57" s="1655"/>
      <c r="AA57" s="1674"/>
      <c r="AB57" s="1532"/>
      <c r="AC57" s="1672"/>
      <c r="AD57" s="1665"/>
      <c r="AE57" s="544"/>
      <c r="AF57" s="12"/>
      <c r="AG57" s="1655"/>
      <c r="AH57" s="485"/>
      <c r="AI57" s="1660"/>
      <c r="AJ57" s="1692"/>
      <c r="AK57" s="1692"/>
      <c r="AL57" s="1079"/>
      <c r="AM57" s="36"/>
      <c r="AN57" s="1695"/>
      <c r="AO57" s="23"/>
      <c r="AP57" s="465"/>
    </row>
    <row r="58" spans="1:58">
      <c r="B58" s="8"/>
      <c r="C58" s="1644"/>
      <c r="D58" s="1669"/>
      <c r="E58" s="1668"/>
      <c r="F58" s="1563"/>
      <c r="G58" s="1670"/>
      <c r="H58" s="1637"/>
      <c r="I58" s="1565"/>
      <c r="J58" s="1532"/>
      <c r="K58" s="1385"/>
      <c r="L58" s="1541"/>
      <c r="M58" s="1385"/>
      <c r="N58" s="1541"/>
      <c r="O58" s="1385"/>
      <c r="P58" s="1541"/>
      <c r="Q58" s="801"/>
      <c r="R58" s="1431"/>
      <c r="S58" s="1655"/>
      <c r="T58" s="1532"/>
      <c r="U58" s="1347"/>
      <c r="V58" s="1385"/>
      <c r="W58" s="163"/>
      <c r="Y58" s="23"/>
      <c r="Z58" s="1655"/>
      <c r="AA58" s="1674"/>
      <c r="AB58" s="1532"/>
      <c r="AC58" s="1672"/>
      <c r="AD58" s="1665"/>
      <c r="AE58" s="544"/>
      <c r="AF58" s="12"/>
      <c r="AG58" s="1655"/>
      <c r="AH58" s="485"/>
      <c r="AI58" s="1660"/>
      <c r="AJ58" s="1692"/>
      <c r="AK58" s="1692"/>
      <c r="AL58" s="1079"/>
      <c r="AM58" s="36"/>
      <c r="AN58" s="1695"/>
      <c r="AO58" s="23"/>
      <c r="AP58" s="465"/>
    </row>
    <row r="59" spans="1:58">
      <c r="B59" s="8"/>
      <c r="C59" s="1644"/>
      <c r="D59" s="1669"/>
      <c r="E59" s="1668"/>
      <c r="F59" s="1563"/>
      <c r="G59" s="1670"/>
      <c r="H59" s="1637"/>
      <c r="I59" s="1565"/>
      <c r="J59" s="1532"/>
      <c r="K59" s="1385"/>
      <c r="L59" s="1541"/>
      <c r="M59" s="1385"/>
      <c r="N59" s="1541"/>
      <c r="O59" s="1385"/>
      <c r="P59" s="1541"/>
      <c r="Q59" s="801"/>
      <c r="R59" s="1431"/>
      <c r="S59" s="1655"/>
      <c r="T59" s="1532"/>
      <c r="U59" s="1347"/>
      <c r="V59" s="1385"/>
      <c r="W59" s="163"/>
      <c r="Y59" s="23"/>
      <c r="Z59" s="1655"/>
      <c r="AA59" s="1674"/>
      <c r="AB59" s="1532"/>
      <c r="AC59" s="1672"/>
      <c r="AD59" s="1665"/>
      <c r="AE59" s="544"/>
      <c r="AF59" s="12"/>
      <c r="AG59" s="1655"/>
      <c r="AH59" s="485"/>
      <c r="AI59" s="1660"/>
      <c r="AJ59" s="1692"/>
      <c r="AK59" s="1692"/>
      <c r="AL59" s="1079"/>
      <c r="AM59" s="36"/>
      <c r="AN59" s="1695"/>
      <c r="AO59" s="23"/>
      <c r="AP59" s="465"/>
    </row>
    <row r="60" spans="1:58">
      <c r="B60" s="8"/>
      <c r="C60" s="1644"/>
      <c r="D60" s="1669"/>
      <c r="E60" s="1668"/>
      <c r="F60" s="1563"/>
      <c r="G60" s="1670"/>
      <c r="H60" s="1637"/>
      <c r="I60" s="1565"/>
      <c r="J60" s="1532"/>
      <c r="K60" s="1385"/>
      <c r="L60" s="1541"/>
      <c r="M60" s="1385"/>
      <c r="N60" s="1541"/>
      <c r="O60" s="1385"/>
      <c r="P60" s="1541"/>
      <c r="Q60" s="801"/>
      <c r="R60" s="1431"/>
      <c r="S60" s="1655"/>
      <c r="T60" s="1532"/>
      <c r="U60" s="1347"/>
      <c r="V60" s="1385"/>
      <c r="W60" s="163"/>
      <c r="Y60" s="23"/>
      <c r="Z60" s="1655"/>
      <c r="AA60" s="1674"/>
      <c r="AB60" s="1532"/>
      <c r="AC60" s="1672"/>
      <c r="AD60" s="1665"/>
      <c r="AE60" s="544"/>
      <c r="AF60" s="12"/>
      <c r="AG60" s="1655"/>
      <c r="AH60" s="485"/>
      <c r="AI60" s="1660"/>
      <c r="AJ60" s="1692"/>
      <c r="AK60" s="1692"/>
      <c r="AL60" s="1079"/>
      <c r="AM60" s="36"/>
      <c r="AN60" s="1695"/>
      <c r="AO60" s="23"/>
      <c r="AP60" s="465"/>
    </row>
    <row r="61" spans="1:58">
      <c r="B61" s="8"/>
      <c r="C61" s="1644"/>
      <c r="D61" s="1669"/>
      <c r="E61" s="1668"/>
      <c r="F61" s="1563"/>
      <c r="G61" s="1670"/>
      <c r="H61" s="1637"/>
      <c r="I61" s="1565"/>
      <c r="J61" s="1532"/>
      <c r="K61" s="1385"/>
      <c r="L61" s="1541"/>
      <c r="M61" s="1385"/>
      <c r="N61" s="1541"/>
      <c r="O61" s="1385"/>
      <c r="P61" s="1541"/>
      <c r="Q61" s="801"/>
      <c r="R61" s="1431"/>
      <c r="S61" s="1655"/>
      <c r="T61" s="1532"/>
      <c r="U61" s="1347"/>
      <c r="V61" s="1385"/>
      <c r="W61" s="163"/>
      <c r="Y61" s="23"/>
      <c r="Z61" s="1655"/>
      <c r="AA61" s="1674"/>
      <c r="AB61" s="1532"/>
      <c r="AC61" s="1672"/>
      <c r="AD61" s="1665"/>
      <c r="AE61" s="544"/>
      <c r="AF61" s="12"/>
      <c r="AG61" s="1655"/>
      <c r="AH61" s="485"/>
      <c r="AI61" s="1660"/>
      <c r="AJ61" s="1692"/>
      <c r="AK61" s="1692"/>
      <c r="AL61" s="1079"/>
      <c r="AM61" s="36"/>
      <c r="AN61" s="1695"/>
      <c r="AO61" s="23"/>
      <c r="AP61" s="465"/>
      <c r="AV61" s="1278" t="s">
        <v>82</v>
      </c>
    </row>
    <row r="62" spans="1:58">
      <c r="B62" s="8"/>
      <c r="C62" s="1644"/>
      <c r="D62" s="1669"/>
      <c r="E62" s="1668"/>
      <c r="F62" s="1563"/>
      <c r="G62" s="1670"/>
      <c r="H62" s="1637"/>
      <c r="I62" s="1565"/>
      <c r="J62" s="1532"/>
      <c r="K62" s="1385"/>
      <c r="L62" s="1541"/>
      <c r="M62" s="1385"/>
      <c r="N62" s="1541"/>
      <c r="O62" s="1385"/>
      <c r="P62" s="1541"/>
      <c r="Q62" s="801"/>
      <c r="R62" s="1431"/>
      <c r="S62" s="1655"/>
      <c r="T62" s="1532"/>
      <c r="U62" s="1347"/>
      <c r="V62" s="1385"/>
      <c r="W62" s="163"/>
      <c r="Y62" s="23"/>
      <c r="Z62" s="1655"/>
      <c r="AA62" s="1674"/>
      <c r="AB62" s="1532"/>
      <c r="AC62" s="1672"/>
      <c r="AD62" s="1665"/>
      <c r="AE62" s="544"/>
      <c r="AF62" s="12"/>
      <c r="AG62" s="1655"/>
      <c r="AH62" s="485"/>
      <c r="AI62" s="1660"/>
      <c r="AJ62" s="1692"/>
      <c r="AK62" s="1692"/>
      <c r="AL62" s="1079"/>
      <c r="AM62" s="36"/>
      <c r="AN62" s="1695"/>
      <c r="AO62" s="23"/>
      <c r="AP62" s="465"/>
    </row>
    <row r="63" spans="1:58">
      <c r="B63" s="8"/>
      <c r="C63" s="1644"/>
      <c r="D63" s="1669"/>
      <c r="E63" s="1668"/>
      <c r="F63" s="1563"/>
      <c r="G63" s="1670"/>
      <c r="H63" s="1637"/>
      <c r="I63" s="1565"/>
      <c r="J63" s="1532"/>
      <c r="K63" s="1385"/>
      <c r="L63" s="1541"/>
      <c r="M63" s="1385"/>
      <c r="N63" s="1541"/>
      <c r="O63" s="1385"/>
      <c r="P63" s="1541"/>
      <c r="Q63" s="801"/>
      <c r="R63" s="1431"/>
      <c r="S63" s="1655"/>
      <c r="T63" s="1532"/>
      <c r="U63" s="1347"/>
      <c r="V63" s="1385"/>
      <c r="Y63" s="23"/>
      <c r="Z63" s="1655"/>
      <c r="AA63" s="1674"/>
      <c r="AB63" s="1532"/>
      <c r="AC63" s="1672"/>
      <c r="AD63" s="1665"/>
      <c r="AE63" s="544"/>
      <c r="AF63" s="12"/>
      <c r="AG63" s="1655"/>
      <c r="AH63" s="485"/>
      <c r="AI63" s="1660"/>
      <c r="AJ63" s="1692"/>
      <c r="AK63" s="1692"/>
      <c r="AL63" s="804"/>
      <c r="AN63" s="1695"/>
      <c r="AO63" s="23"/>
      <c r="AP63" s="465"/>
    </row>
    <row r="64" spans="1:58" ht="153" customHeight="1">
      <c r="B64" s="8"/>
      <c r="C64" s="1644"/>
      <c r="D64" s="1669"/>
      <c r="E64" s="1668"/>
      <c r="F64" s="1563"/>
      <c r="G64" s="1670"/>
      <c r="H64" s="1637"/>
      <c r="I64" s="1565"/>
      <c r="J64" s="1532"/>
      <c r="K64" s="1385"/>
      <c r="L64" s="1541"/>
      <c r="M64" s="1385"/>
      <c r="N64" s="1541"/>
      <c r="O64" s="1385"/>
      <c r="P64" s="1541"/>
      <c r="Q64" s="801"/>
      <c r="R64" s="1431"/>
      <c r="S64" s="1655"/>
      <c r="T64" s="1532"/>
      <c r="U64" s="1347"/>
      <c r="V64" s="1385"/>
      <c r="Y64" s="23"/>
      <c r="Z64" s="1655"/>
      <c r="AA64" s="1674"/>
      <c r="AB64" s="1532"/>
      <c r="AC64" s="1672"/>
      <c r="AD64" s="1665"/>
      <c r="AE64" s="544"/>
      <c r="AF64" s="12"/>
      <c r="AG64" s="1655"/>
      <c r="AH64" s="485"/>
      <c r="AI64" s="1660"/>
      <c r="AJ64" s="1692"/>
      <c r="AK64" s="1692"/>
      <c r="AL64" s="804"/>
      <c r="AN64" s="1695"/>
      <c r="AO64" s="23"/>
      <c r="AP64" s="465"/>
    </row>
    <row r="65" spans="1:58">
      <c r="AI65" s="837"/>
      <c r="AP65" s="465"/>
    </row>
    <row r="66" spans="1:58">
      <c r="C66" s="271" t="s">
        <v>82</v>
      </c>
      <c r="AI66" s="837"/>
      <c r="AP66" s="465"/>
    </row>
    <row r="67" spans="1:58">
      <c r="A67" s="12"/>
      <c r="B67" s="960" t="s">
        <v>34</v>
      </c>
      <c r="AI67" s="837"/>
      <c r="AP67" s="465"/>
    </row>
    <row r="68" spans="1:58" s="1122" customFormat="1" ht="30" customHeight="1">
      <c r="B68" s="1264"/>
      <c r="C68" s="1117" t="s">
        <v>116</v>
      </c>
      <c r="D68" s="1424" t="s">
        <v>39</v>
      </c>
      <c r="E68" s="1466"/>
      <c r="F68" s="1466"/>
      <c r="G68" s="1466"/>
      <c r="H68" s="1466"/>
      <c r="I68" s="1652"/>
      <c r="J68" s="1523" t="s">
        <v>104</v>
      </c>
      <c r="K68" s="1448"/>
      <c r="L68" s="1653"/>
      <c r="M68" s="1653"/>
      <c r="N68" s="1653"/>
      <c r="O68" s="1653"/>
      <c r="P68" s="1653"/>
      <c r="Q68" s="1653"/>
      <c r="R68" s="1648" t="s">
        <v>22</v>
      </c>
      <c r="S68" s="1649"/>
      <c r="T68" s="1661" t="s">
        <v>95</v>
      </c>
      <c r="U68" s="1662"/>
      <c r="V68" s="1662"/>
      <c r="W68" s="1662"/>
      <c r="X68" s="1663"/>
      <c r="Y68" s="1411" t="s">
        <v>24</v>
      </c>
      <c r="Z68" s="1412"/>
      <c r="AA68" s="1254"/>
      <c r="AB68" s="1254"/>
      <c r="AC68" s="1645" t="s">
        <v>101</v>
      </c>
      <c r="AD68" s="1646"/>
      <c r="AE68" s="1647"/>
      <c r="AF68" s="1584" t="s">
        <v>23</v>
      </c>
      <c r="AG68" s="1642"/>
      <c r="AH68" s="1255"/>
      <c r="AI68" s="1417" t="s">
        <v>25</v>
      </c>
      <c r="AJ68" s="1700"/>
      <c r="AK68" s="1700"/>
      <c r="AL68" s="1700"/>
      <c r="AM68" s="1700"/>
      <c r="AN68" s="1701"/>
      <c r="AO68" s="1256"/>
      <c r="AP68" s="1257"/>
      <c r="AV68" s="1317" t="s">
        <v>82</v>
      </c>
    </row>
    <row r="69" spans="1:58">
      <c r="B69" s="464"/>
      <c r="C69" s="505"/>
      <c r="D69" s="493">
        <v>1</v>
      </c>
      <c r="E69" s="502">
        <v>2</v>
      </c>
      <c r="F69" s="502">
        <v>3</v>
      </c>
      <c r="G69" s="502">
        <v>4</v>
      </c>
      <c r="H69" s="502">
        <v>5</v>
      </c>
      <c r="I69" s="494">
        <v>6</v>
      </c>
      <c r="J69" s="492">
        <f>I69+1</f>
        <v>7</v>
      </c>
      <c r="K69" s="492">
        <f t="shared" ref="K69:L69" si="64">J69+1</f>
        <v>8</v>
      </c>
      <c r="L69" s="492">
        <f t="shared" si="64"/>
        <v>9</v>
      </c>
      <c r="M69" s="492">
        <v>10</v>
      </c>
      <c r="N69" s="492">
        <v>11</v>
      </c>
      <c r="O69" s="492">
        <v>12</v>
      </c>
      <c r="P69" s="492">
        <v>13</v>
      </c>
      <c r="Q69" s="492">
        <v>14</v>
      </c>
      <c r="R69" s="904">
        <v>15</v>
      </c>
      <c r="S69" s="905">
        <v>16</v>
      </c>
      <c r="T69" s="906">
        <v>17</v>
      </c>
      <c r="U69" s="906">
        <v>18</v>
      </c>
      <c r="V69" s="906">
        <v>19</v>
      </c>
      <c r="W69" s="906">
        <v>20</v>
      </c>
      <c r="X69" s="906">
        <v>21</v>
      </c>
      <c r="Y69" s="904">
        <v>22</v>
      </c>
      <c r="Z69" s="905">
        <v>23</v>
      </c>
      <c r="AA69" s="906">
        <v>24</v>
      </c>
      <c r="AB69" s="905">
        <v>25</v>
      </c>
      <c r="AC69" s="906">
        <v>26</v>
      </c>
      <c r="AD69" s="906">
        <v>27</v>
      </c>
      <c r="AE69" s="906">
        <v>28</v>
      </c>
      <c r="AF69" s="904">
        <v>29</v>
      </c>
      <c r="AG69" s="905">
        <v>30</v>
      </c>
      <c r="AH69" s="494">
        <v>31</v>
      </c>
      <c r="AI69" s="134">
        <f>AH69+1</f>
        <v>32</v>
      </c>
      <c r="AJ69" s="134">
        <f>AI69+1</f>
        <v>33</v>
      </c>
      <c r="AK69" s="134">
        <f t="shared" ref="AK69:AO69" si="65">AJ69+1</f>
        <v>34</v>
      </c>
      <c r="AL69" s="134">
        <f t="shared" si="65"/>
        <v>35</v>
      </c>
      <c r="AM69" s="134">
        <f t="shared" si="65"/>
        <v>36</v>
      </c>
      <c r="AN69" s="134">
        <f t="shared" si="65"/>
        <v>37</v>
      </c>
      <c r="AO69" s="134">
        <f t="shared" si="65"/>
        <v>38</v>
      </c>
      <c r="AP69" s="495"/>
    </row>
    <row r="70" spans="1:58" ht="143" customHeight="1">
      <c r="B70" s="499"/>
      <c r="C70" s="1252" t="s">
        <v>1134</v>
      </c>
      <c r="D70" s="1026" t="s">
        <v>485</v>
      </c>
      <c r="E70" s="1025" t="s">
        <v>486</v>
      </c>
      <c r="F70" s="1025" t="s">
        <v>407</v>
      </c>
      <c r="G70" s="1025" t="s">
        <v>408</v>
      </c>
      <c r="H70" s="418" t="s">
        <v>409</v>
      </c>
      <c r="I70" s="820" t="s">
        <v>410</v>
      </c>
      <c r="J70" s="1266" t="s">
        <v>487</v>
      </c>
      <c r="K70" s="1025" t="s">
        <v>412</v>
      </c>
      <c r="L70" s="1266" t="s">
        <v>488</v>
      </c>
      <c r="M70" s="1266" t="s">
        <v>489</v>
      </c>
      <c r="N70" s="1266" t="s">
        <v>1141</v>
      </c>
      <c r="O70" s="1266" t="s">
        <v>490</v>
      </c>
      <c r="P70" s="1266" t="s">
        <v>491</v>
      </c>
      <c r="Q70" s="1027" t="s">
        <v>418</v>
      </c>
      <c r="R70" s="532" t="s">
        <v>492</v>
      </c>
      <c r="S70" s="322" t="s">
        <v>493</v>
      </c>
      <c r="T70" s="1101" t="s">
        <v>494</v>
      </c>
      <c r="U70" s="1101" t="s">
        <v>495</v>
      </c>
      <c r="V70" s="1101" t="s">
        <v>496</v>
      </c>
      <c r="W70" s="1101" t="s">
        <v>497</v>
      </c>
      <c r="X70" s="1201" t="s">
        <v>453</v>
      </c>
      <c r="Y70" s="533" t="s">
        <v>498</v>
      </c>
      <c r="Z70" s="176" t="s">
        <v>499</v>
      </c>
      <c r="AA70" s="1201" t="s">
        <v>500</v>
      </c>
      <c r="AB70" s="1201" t="s">
        <v>501</v>
      </c>
      <c r="AC70" s="1026" t="s">
        <v>429</v>
      </c>
      <c r="AD70" s="1238" t="s">
        <v>466</v>
      </c>
      <c r="AE70" s="1258" t="s">
        <v>481</v>
      </c>
      <c r="AF70" s="154" t="s">
        <v>432</v>
      </c>
      <c r="AG70" s="155" t="s">
        <v>433</v>
      </c>
      <c r="AH70" s="1258" t="s">
        <v>434</v>
      </c>
      <c r="AI70" s="1054" t="s">
        <v>346</v>
      </c>
      <c r="AJ70" s="1055" t="s">
        <v>435</v>
      </c>
      <c r="AK70" s="1074" t="s">
        <v>0</v>
      </c>
      <c r="AL70" s="1074" t="s">
        <v>27</v>
      </c>
      <c r="AM70" s="819" t="s">
        <v>402</v>
      </c>
      <c r="AN70" s="820" t="s">
        <v>343</v>
      </c>
      <c r="AO70" s="496" t="s">
        <v>436</v>
      </c>
      <c r="AP70" s="497"/>
      <c r="AQ70" s="1059" t="s">
        <v>278</v>
      </c>
      <c r="AR70" s="418" t="s">
        <v>438</v>
      </c>
      <c r="AS70" s="418" t="s">
        <v>439</v>
      </c>
      <c r="AT70" s="361" t="s">
        <v>440</v>
      </c>
      <c r="AU70" s="861" t="s">
        <v>403</v>
      </c>
      <c r="AV70" s="861" t="s">
        <v>746</v>
      </c>
      <c r="AW70" s="1111"/>
      <c r="BF70" s="978" t="s">
        <v>779</v>
      </c>
    </row>
    <row r="71" spans="1:58">
      <c r="A71" s="797">
        <f>A53+1</f>
        <v>23</v>
      </c>
      <c r="B71" s="782">
        <f>B53+1</f>
        <v>23</v>
      </c>
      <c r="C71" s="55" t="s">
        <v>1077</v>
      </c>
      <c r="D71" s="1265">
        <v>286</v>
      </c>
      <c r="E71" s="1041">
        <f>2*D71</f>
        <v>572</v>
      </c>
      <c r="F71" s="1248">
        <f>2*319</f>
        <v>638</v>
      </c>
      <c r="G71" s="1248">
        <f>1.15*F71</f>
        <v>733.69999999999993</v>
      </c>
      <c r="H71" s="901">
        <f>0.23*E71</f>
        <v>131.56</v>
      </c>
      <c r="I71" s="902">
        <f>0.5*(H71*1.1)</f>
        <v>72.358000000000004</v>
      </c>
      <c r="J71" s="1164">
        <v>152</v>
      </c>
      <c r="K71" s="571">
        <v>15</v>
      </c>
      <c r="L71" s="1164">
        <f>102-44</f>
        <v>58</v>
      </c>
      <c r="M71" s="1164">
        <v>15</v>
      </c>
      <c r="N71" s="1164">
        <v>270</v>
      </c>
      <c r="O71" s="1164">
        <v>15</v>
      </c>
      <c r="P71" s="1070">
        <v>160</v>
      </c>
      <c r="Q71" s="1164">
        <f>SUM(J71:P71)</f>
        <v>685</v>
      </c>
      <c r="R71" s="689">
        <f>2*Q71</f>
        <v>1370</v>
      </c>
      <c r="S71" s="908">
        <f t="shared" ref="S71:S75" si="66">R71+(2*71)</f>
        <v>1512</v>
      </c>
      <c r="T71" s="676">
        <v>23</v>
      </c>
      <c r="U71" s="676">
        <v>62</v>
      </c>
      <c r="V71" s="676">
        <v>10</v>
      </c>
      <c r="W71" s="676">
        <v>30</v>
      </c>
      <c r="X71" s="676">
        <f>SUM(T71:W71)</f>
        <v>125</v>
      </c>
      <c r="Y71" s="513">
        <f>2*X71</f>
        <v>250</v>
      </c>
      <c r="Z71" s="514">
        <f>Y71+(23)</f>
        <v>273</v>
      </c>
      <c r="AA71" s="666">
        <f>Z71-H71</f>
        <v>141.44</v>
      </c>
      <c r="AB71" s="666">
        <f>Z71-I71</f>
        <v>200.642</v>
      </c>
      <c r="AC71" s="1069">
        <f>199-48+30</f>
        <v>181</v>
      </c>
      <c r="AD71" s="667">
        <f t="shared" ref="AD71:AD75" si="67">33.89+(AC71*0.2095)</f>
        <v>71.8095</v>
      </c>
      <c r="AE71" s="675">
        <f>X71-(U71)+AD71</f>
        <v>134.80950000000001</v>
      </c>
      <c r="AF71" s="690">
        <f>2*AE71</f>
        <v>269.61900000000003</v>
      </c>
      <c r="AG71" s="691">
        <f>AF71+(23)</f>
        <v>292.61900000000003</v>
      </c>
      <c r="AH71" s="668">
        <f>AG71-I71</f>
        <v>220.26100000000002</v>
      </c>
      <c r="AI71" s="616" t="s">
        <v>393</v>
      </c>
      <c r="AJ71" s="948">
        <v>230</v>
      </c>
      <c r="AK71" s="616">
        <f>(2*AJ71)+(2*71)+(2*45)</f>
        <v>692</v>
      </c>
      <c r="AL71" s="699">
        <f>S71-AK71</f>
        <v>820</v>
      </c>
      <c r="AM71" s="666">
        <v>31</v>
      </c>
      <c r="AN71" s="480">
        <f>596+(1*23)+AM71</f>
        <v>650</v>
      </c>
      <c r="AO71" s="472">
        <f>Z71-AN71</f>
        <v>-377</v>
      </c>
      <c r="AP71" s="481"/>
      <c r="AQ71" s="566" t="s">
        <v>58</v>
      </c>
      <c r="AR71" s="706">
        <f>H71</f>
        <v>131.56</v>
      </c>
      <c r="AS71" s="706">
        <f>Z71</f>
        <v>273</v>
      </c>
      <c r="AT71" s="706">
        <f>AN71</f>
        <v>650</v>
      </c>
      <c r="AU71" s="705">
        <f>S71-G71</f>
        <v>778.30000000000007</v>
      </c>
      <c r="AV71" s="705">
        <f>AL71</f>
        <v>820</v>
      </c>
      <c r="AW71" s="1274"/>
      <c r="BF71" s="957">
        <f>B71</f>
        <v>23</v>
      </c>
    </row>
    <row r="72" spans="1:58">
      <c r="A72" s="799">
        <f>A71+1</f>
        <v>24</v>
      </c>
      <c r="B72" s="782">
        <f t="shared" ref="B72:B75" si="68">B71+1</f>
        <v>24</v>
      </c>
      <c r="C72" s="55" t="s">
        <v>1078</v>
      </c>
      <c r="D72" s="1265">
        <v>315</v>
      </c>
      <c r="E72" s="1041">
        <f>2*D72</f>
        <v>630</v>
      </c>
      <c r="F72" s="1248">
        <f>2*331</f>
        <v>662</v>
      </c>
      <c r="G72" s="1248">
        <f>1.15*F72</f>
        <v>761.3</v>
      </c>
      <c r="H72" s="901">
        <f>0.23*E72</f>
        <v>144.9</v>
      </c>
      <c r="I72" s="902">
        <f>0.5*(H72*1.1)</f>
        <v>79.695000000000007</v>
      </c>
      <c r="J72" s="1164">
        <v>152</v>
      </c>
      <c r="K72" s="571">
        <v>15</v>
      </c>
      <c r="L72" s="1164">
        <f>102-44</f>
        <v>58</v>
      </c>
      <c r="M72" s="1164">
        <v>15</v>
      </c>
      <c r="N72" s="1164">
        <v>270</v>
      </c>
      <c r="O72" s="1164">
        <v>15</v>
      </c>
      <c r="P72" s="1070">
        <v>155</v>
      </c>
      <c r="Q72" s="1164">
        <f>SUM(J72:P72)</f>
        <v>680</v>
      </c>
      <c r="R72" s="689">
        <f>2*Q72</f>
        <v>1360</v>
      </c>
      <c r="S72" s="908">
        <f t="shared" si="66"/>
        <v>1502</v>
      </c>
      <c r="T72" s="676">
        <v>23</v>
      </c>
      <c r="U72" s="676">
        <v>62</v>
      </c>
      <c r="V72" s="676">
        <v>10</v>
      </c>
      <c r="W72" s="676">
        <v>28</v>
      </c>
      <c r="X72" s="676">
        <f>SUM(T72:W72)</f>
        <v>123</v>
      </c>
      <c r="Y72" s="513">
        <f>2*X72</f>
        <v>246</v>
      </c>
      <c r="Z72" s="514">
        <f>Y72+(23)</f>
        <v>269</v>
      </c>
      <c r="AA72" s="666">
        <f>Z72-H72</f>
        <v>124.1</v>
      </c>
      <c r="AB72" s="666">
        <f>Z72-I72</f>
        <v>189.30500000000001</v>
      </c>
      <c r="AC72" s="1069">
        <f>199-48+30</f>
        <v>181</v>
      </c>
      <c r="AD72" s="667">
        <f t="shared" si="67"/>
        <v>71.8095</v>
      </c>
      <c r="AE72" s="675">
        <f>X72-(U72)+AD72</f>
        <v>132.80950000000001</v>
      </c>
      <c r="AF72" s="690">
        <f>2*AE72</f>
        <v>265.61900000000003</v>
      </c>
      <c r="AG72" s="691">
        <f>AF72+(23)</f>
        <v>288.61900000000003</v>
      </c>
      <c r="AH72" s="668">
        <f>AG72-I72</f>
        <v>208.92400000000004</v>
      </c>
      <c r="AI72" s="616" t="s">
        <v>394</v>
      </c>
      <c r="AJ72" s="948">
        <v>371</v>
      </c>
      <c r="AK72" s="616">
        <f>(2*AJ72)+(2*71)+(2*45)</f>
        <v>974</v>
      </c>
      <c r="AL72" s="699">
        <f>S72-AK72</f>
        <v>528</v>
      </c>
      <c r="AM72" s="666">
        <f>31</f>
        <v>31</v>
      </c>
      <c r="AN72" s="480">
        <f>717+(1*23)+AM72</f>
        <v>771</v>
      </c>
      <c r="AO72" s="472">
        <f>Z72-AN72</f>
        <v>-502</v>
      </c>
      <c r="AP72" s="481"/>
      <c r="AQ72" s="566" t="s">
        <v>57</v>
      </c>
      <c r="AR72" s="706">
        <f t="shared" ref="AR72:AR75" si="69">H72</f>
        <v>144.9</v>
      </c>
      <c r="AS72" s="706">
        <f t="shared" ref="AS72:AS75" si="70">Z72</f>
        <v>269</v>
      </c>
      <c r="AT72" s="706">
        <f t="shared" ref="AT72:AT75" si="71">AN72</f>
        <v>771</v>
      </c>
      <c r="AU72" s="705">
        <f t="shared" ref="AU72:AU75" si="72">S72-G72</f>
        <v>740.7</v>
      </c>
      <c r="AV72" s="705">
        <f t="shared" ref="AV72:AV75" si="73">AL72</f>
        <v>528</v>
      </c>
      <c r="AW72" s="1274"/>
      <c r="BF72" s="957">
        <f>B72</f>
        <v>24</v>
      </c>
    </row>
    <row r="73" spans="1:58">
      <c r="A73" s="799">
        <f t="shared" ref="A73:A75" si="74">A72+1</f>
        <v>25</v>
      </c>
      <c r="B73" s="782">
        <f t="shared" si="68"/>
        <v>25</v>
      </c>
      <c r="C73" s="55" t="s">
        <v>1079</v>
      </c>
      <c r="D73" s="1265">
        <v>236</v>
      </c>
      <c r="E73" s="1041">
        <f>2*D73</f>
        <v>472</v>
      </c>
      <c r="F73" s="1248">
        <f>2*258</f>
        <v>516</v>
      </c>
      <c r="G73" s="1248">
        <f>1.15*F73</f>
        <v>593.4</v>
      </c>
      <c r="H73" s="901">
        <f>0.23*E73</f>
        <v>108.56</v>
      </c>
      <c r="I73" s="902">
        <f>0.5*(H73*1.1)</f>
        <v>59.708000000000006</v>
      </c>
      <c r="J73" s="1164">
        <v>152</v>
      </c>
      <c r="K73" s="571">
        <v>15</v>
      </c>
      <c r="L73" s="1164">
        <f>183-44</f>
        <v>139</v>
      </c>
      <c r="M73" s="1164">
        <v>15</v>
      </c>
      <c r="N73" s="1164">
        <v>160</v>
      </c>
      <c r="O73" s="1164">
        <v>15</v>
      </c>
      <c r="P73" s="1070">
        <v>155</v>
      </c>
      <c r="Q73" s="1164">
        <f>SUM(J73:P73)</f>
        <v>651</v>
      </c>
      <c r="R73" s="689">
        <f>2*Q73</f>
        <v>1302</v>
      </c>
      <c r="S73" s="908">
        <f t="shared" si="66"/>
        <v>1444</v>
      </c>
      <c r="T73" s="676">
        <v>23</v>
      </c>
      <c r="U73" s="676">
        <v>87</v>
      </c>
      <c r="V73" s="676">
        <v>13</v>
      </c>
      <c r="W73" s="676">
        <v>0</v>
      </c>
      <c r="X73" s="676">
        <f>SUM(T73:W73)</f>
        <v>123</v>
      </c>
      <c r="Y73" s="513">
        <f>2*X73</f>
        <v>246</v>
      </c>
      <c r="Z73" s="514">
        <f>Y73+(23)</f>
        <v>269</v>
      </c>
      <c r="AA73" s="666">
        <f>Z73-H73</f>
        <v>160.44</v>
      </c>
      <c r="AB73" s="666">
        <f>Z73-I73</f>
        <v>209.292</v>
      </c>
      <c r="AC73" s="1069">
        <f>306-48</f>
        <v>258</v>
      </c>
      <c r="AD73" s="667">
        <f t="shared" si="67"/>
        <v>87.941000000000003</v>
      </c>
      <c r="AE73" s="675">
        <f>X73-(U73)+AD73</f>
        <v>123.941</v>
      </c>
      <c r="AF73" s="690">
        <f>2*AE73</f>
        <v>247.88200000000001</v>
      </c>
      <c r="AG73" s="691">
        <f>AF73+(23)</f>
        <v>270.88200000000001</v>
      </c>
      <c r="AH73" s="668">
        <f>AG73-I73</f>
        <v>211.17400000000001</v>
      </c>
      <c r="AI73" s="616" t="s">
        <v>391</v>
      </c>
      <c r="AJ73" s="948">
        <v>88</v>
      </c>
      <c r="AK73" s="616">
        <f>(2*AJ73)+(2*71)+(2*45)</f>
        <v>408</v>
      </c>
      <c r="AL73" s="699">
        <f>S73-AK73</f>
        <v>1036</v>
      </c>
      <c r="AM73" s="666">
        <v>31</v>
      </c>
      <c r="AN73" s="480">
        <f>266+(1*23)+AM73</f>
        <v>320</v>
      </c>
      <c r="AO73" s="472">
        <f>Z73-AN73</f>
        <v>-51</v>
      </c>
      <c r="AP73" s="481"/>
      <c r="AQ73" s="566" t="s">
        <v>65</v>
      </c>
      <c r="AR73" s="706">
        <f t="shared" si="69"/>
        <v>108.56</v>
      </c>
      <c r="AS73" s="706">
        <f t="shared" si="70"/>
        <v>269</v>
      </c>
      <c r="AT73" s="706">
        <f t="shared" si="71"/>
        <v>320</v>
      </c>
      <c r="AU73" s="705">
        <f t="shared" si="72"/>
        <v>850.6</v>
      </c>
      <c r="AV73" s="705">
        <f t="shared" si="73"/>
        <v>1036</v>
      </c>
      <c r="AW73" s="1274"/>
      <c r="BF73" s="957">
        <f>B73</f>
        <v>25</v>
      </c>
    </row>
    <row r="74" spans="1:58">
      <c r="A74" s="799">
        <f t="shared" si="74"/>
        <v>26</v>
      </c>
      <c r="B74" s="782">
        <f t="shared" si="68"/>
        <v>26</v>
      </c>
      <c r="C74" s="68" t="s">
        <v>1080</v>
      </c>
      <c r="D74" s="1265">
        <v>487</v>
      </c>
      <c r="E74" s="1041">
        <f>2*D74</f>
        <v>974</v>
      </c>
      <c r="F74" s="1248">
        <f>2*480</f>
        <v>960</v>
      </c>
      <c r="G74" s="1248">
        <f>1.15*F74</f>
        <v>1104</v>
      </c>
      <c r="H74" s="901">
        <f t="shared" ref="H74" si="75">0.23*E74</f>
        <v>224.02</v>
      </c>
      <c r="I74" s="902">
        <f>0.5*(H74*1.1)</f>
        <v>123.21100000000001</v>
      </c>
      <c r="J74" s="1164">
        <v>125</v>
      </c>
      <c r="K74" s="571">
        <v>15</v>
      </c>
      <c r="L74" s="1164">
        <f>160</f>
        <v>160</v>
      </c>
      <c r="M74" s="1164">
        <v>15</v>
      </c>
      <c r="N74" s="1164">
        <f>15+270</f>
        <v>285</v>
      </c>
      <c r="O74" s="1164">
        <v>15</v>
      </c>
      <c r="P74" s="1070">
        <v>160</v>
      </c>
      <c r="Q74" s="1164">
        <f>SUM(J74:P74)</f>
        <v>775</v>
      </c>
      <c r="R74" s="689">
        <f>2*Q74</f>
        <v>1550</v>
      </c>
      <c r="S74" s="1283">
        <f t="shared" si="66"/>
        <v>1692</v>
      </c>
      <c r="T74" s="676">
        <f>13</f>
        <v>13</v>
      </c>
      <c r="U74" s="676">
        <f>13+64</f>
        <v>77</v>
      </c>
      <c r="V74" s="676">
        <v>10</v>
      </c>
      <c r="W74" s="676">
        <v>30</v>
      </c>
      <c r="X74" s="676">
        <f>SUM(T74:W74)</f>
        <v>130</v>
      </c>
      <c r="Y74" s="513">
        <f>2*X74</f>
        <v>260</v>
      </c>
      <c r="Z74" s="514">
        <f>Y74+(23)</f>
        <v>283</v>
      </c>
      <c r="AA74" s="666">
        <f>Z74-H74</f>
        <v>58.97999999999999</v>
      </c>
      <c r="AB74" s="666">
        <f>Z74-I74</f>
        <v>159.78899999999999</v>
      </c>
      <c r="AC74" s="1069">
        <f>306-199+30</f>
        <v>137</v>
      </c>
      <c r="AD74" s="667">
        <f t="shared" si="67"/>
        <v>62.591499999999996</v>
      </c>
      <c r="AE74" s="675">
        <f>X74-(U74)+AD74</f>
        <v>115.5915</v>
      </c>
      <c r="AF74" s="690">
        <f>2*AE74</f>
        <v>231.18299999999999</v>
      </c>
      <c r="AG74" s="691">
        <f>AF74+(23)</f>
        <v>254.18299999999999</v>
      </c>
      <c r="AH74" s="668">
        <f>AG74-I74</f>
        <v>130.97199999999998</v>
      </c>
      <c r="AI74" s="616" t="s">
        <v>395</v>
      </c>
      <c r="AJ74" s="948">
        <v>261</v>
      </c>
      <c r="AK74" s="616">
        <f>(2*AJ74)+(2*71)+(2*45)</f>
        <v>754</v>
      </c>
      <c r="AL74" s="699">
        <f>S74-AK74</f>
        <v>938</v>
      </c>
      <c r="AM74" s="666">
        <v>31</v>
      </c>
      <c r="AN74" s="480">
        <f>516+(1*23)+AM74</f>
        <v>570</v>
      </c>
      <c r="AO74" s="472">
        <f>Z74-AN74</f>
        <v>-287</v>
      </c>
      <c r="AP74" s="481"/>
      <c r="AQ74" s="567" t="s">
        <v>60</v>
      </c>
      <c r="AR74" s="706">
        <f t="shared" si="69"/>
        <v>224.02</v>
      </c>
      <c r="AS74" s="706">
        <f t="shared" si="70"/>
        <v>283</v>
      </c>
      <c r="AT74" s="706">
        <f t="shared" si="71"/>
        <v>570</v>
      </c>
      <c r="AU74" s="705">
        <f t="shared" si="72"/>
        <v>588</v>
      </c>
      <c r="AV74" s="705">
        <f t="shared" si="73"/>
        <v>938</v>
      </c>
      <c r="AW74" s="1274"/>
      <c r="BF74" s="957">
        <f>B74</f>
        <v>26</v>
      </c>
    </row>
    <row r="75" spans="1:58">
      <c r="A75" s="797">
        <f t="shared" si="74"/>
        <v>27</v>
      </c>
      <c r="B75" s="782">
        <f t="shared" si="68"/>
        <v>27</v>
      </c>
      <c r="C75" s="55" t="s">
        <v>1081</v>
      </c>
      <c r="D75" s="1265">
        <v>522</v>
      </c>
      <c r="E75" s="1041">
        <f>2*D75</f>
        <v>1044</v>
      </c>
      <c r="F75" s="1248">
        <f>2*472</f>
        <v>944</v>
      </c>
      <c r="G75" s="1248">
        <f>1.15*F75</f>
        <v>1085.5999999999999</v>
      </c>
      <c r="H75" s="901">
        <f>0.23*E75</f>
        <v>240.12</v>
      </c>
      <c r="I75" s="902">
        <f>0.5*(H75*1.1)</f>
        <v>132.066</v>
      </c>
      <c r="J75" s="1164">
        <v>125</v>
      </c>
      <c r="K75" s="571">
        <v>15</v>
      </c>
      <c r="L75" s="1164">
        <f>160</f>
        <v>160</v>
      </c>
      <c r="M75" s="1164">
        <v>15</v>
      </c>
      <c r="N75" s="1164">
        <f>15+270</f>
        <v>285</v>
      </c>
      <c r="O75" s="1164">
        <v>15</v>
      </c>
      <c r="P75" s="1070">
        <v>155</v>
      </c>
      <c r="Q75" s="1164">
        <f>SUM(J75:P75)</f>
        <v>770</v>
      </c>
      <c r="R75" s="689">
        <f>2*Q75</f>
        <v>1540</v>
      </c>
      <c r="S75" s="1283">
        <f t="shared" si="66"/>
        <v>1682</v>
      </c>
      <c r="T75" s="676">
        <f>13</f>
        <v>13</v>
      </c>
      <c r="U75" s="676">
        <f>13+64</f>
        <v>77</v>
      </c>
      <c r="V75" s="676">
        <v>10</v>
      </c>
      <c r="W75" s="676">
        <v>34</v>
      </c>
      <c r="X75" s="676">
        <f>SUM(T75:W75)</f>
        <v>134</v>
      </c>
      <c r="Y75" s="513">
        <f>2*X75</f>
        <v>268</v>
      </c>
      <c r="Z75" s="514">
        <f>Y75+(23)</f>
        <v>291</v>
      </c>
      <c r="AA75" s="666">
        <f>Z75-H75</f>
        <v>50.879999999999995</v>
      </c>
      <c r="AB75" s="666">
        <f>Z75-I75</f>
        <v>158.934</v>
      </c>
      <c r="AC75" s="1069">
        <f>306-199+30</f>
        <v>137</v>
      </c>
      <c r="AD75" s="667">
        <f t="shared" si="67"/>
        <v>62.591499999999996</v>
      </c>
      <c r="AE75" s="675">
        <f>X75-(U75)+AD75</f>
        <v>119.5915</v>
      </c>
      <c r="AF75" s="690">
        <f>2*AE75</f>
        <v>239.18299999999999</v>
      </c>
      <c r="AG75" s="691">
        <f>AF75+(23)</f>
        <v>262.18299999999999</v>
      </c>
      <c r="AH75" s="668">
        <f>AG75-I75</f>
        <v>130.11699999999999</v>
      </c>
      <c r="AI75" s="616" t="s">
        <v>395</v>
      </c>
      <c r="AJ75" s="948">
        <v>230</v>
      </c>
      <c r="AK75" s="616">
        <f>(2*AJ75)+(2*71)+(2*45)</f>
        <v>692</v>
      </c>
      <c r="AL75" s="699">
        <f>S75-AK75</f>
        <v>990</v>
      </c>
      <c r="AM75" s="666" t="s">
        <v>113</v>
      </c>
      <c r="AN75" s="480">
        <f>564+(1*23)</f>
        <v>587</v>
      </c>
      <c r="AO75" s="472">
        <f>Z75-AN75</f>
        <v>-296</v>
      </c>
      <c r="AP75" s="481"/>
      <c r="AQ75" s="566" t="s">
        <v>59</v>
      </c>
      <c r="AR75" s="706">
        <f t="shared" si="69"/>
        <v>240.12</v>
      </c>
      <c r="AS75" s="706">
        <f t="shared" si="70"/>
        <v>291</v>
      </c>
      <c r="AT75" s="706">
        <f t="shared" si="71"/>
        <v>587</v>
      </c>
      <c r="AU75" s="705">
        <f t="shared" si="72"/>
        <v>596.40000000000009</v>
      </c>
      <c r="AV75" s="705">
        <f t="shared" si="73"/>
        <v>990</v>
      </c>
      <c r="AW75" s="1274"/>
      <c r="BF75" s="957">
        <f>B75</f>
        <v>27</v>
      </c>
    </row>
    <row r="76" spans="1:58" ht="294" customHeight="1">
      <c r="B76" s="499"/>
      <c r="C76" s="572"/>
      <c r="D76" s="1657" t="s">
        <v>1136</v>
      </c>
      <c r="E76" s="1385"/>
      <c r="F76" s="1211" t="s">
        <v>1124</v>
      </c>
      <c r="G76" s="1215" t="s">
        <v>1125</v>
      </c>
      <c r="H76" s="1210" t="s">
        <v>1086</v>
      </c>
      <c r="I76" s="844"/>
      <c r="J76" s="565" t="s">
        <v>1137</v>
      </c>
      <c r="K76" s="1062" t="s">
        <v>1138</v>
      </c>
      <c r="L76" s="1213" t="s">
        <v>1139</v>
      </c>
      <c r="M76" s="1062" t="s">
        <v>258</v>
      </c>
      <c r="N76" s="1213" t="s">
        <v>1140</v>
      </c>
      <c r="O76" s="1062" t="s">
        <v>56</v>
      </c>
      <c r="P76" s="565" t="s">
        <v>1143</v>
      </c>
      <c r="Q76" s="376"/>
      <c r="R76" s="555"/>
      <c r="S76" s="1284" t="s">
        <v>1159</v>
      </c>
      <c r="T76" s="565" t="s">
        <v>103</v>
      </c>
      <c r="U76" s="143" t="s">
        <v>130</v>
      </c>
      <c r="V76" s="907" t="s">
        <v>138</v>
      </c>
      <c r="W76" s="907" t="s">
        <v>61</v>
      </c>
      <c r="X76" s="554"/>
      <c r="Y76" s="555"/>
      <c r="Z76" s="1214" t="s">
        <v>1041</v>
      </c>
      <c r="AA76" s="58"/>
      <c r="AB76" s="1614" t="s">
        <v>154</v>
      </c>
      <c r="AC76" s="1251" t="s">
        <v>139</v>
      </c>
      <c r="AD76" s="486"/>
      <c r="AF76" s="473"/>
      <c r="AG76" s="1214" t="s">
        <v>1041</v>
      </c>
      <c r="AH76" s="475"/>
      <c r="AI76" s="574"/>
      <c r="AJ76" s="1205" t="s">
        <v>1157</v>
      </c>
      <c r="AK76" s="1108" t="s">
        <v>252</v>
      </c>
      <c r="AL76" s="36"/>
      <c r="AM76" s="36"/>
      <c r="AN76" s="540" t="s">
        <v>46</v>
      </c>
      <c r="AO76" s="474"/>
      <c r="AP76" s="481"/>
      <c r="AQ76" s="55"/>
    </row>
    <row r="77" spans="1:58">
      <c r="F77" s="1211"/>
      <c r="G77" s="1215"/>
      <c r="H77" s="1210"/>
      <c r="S77" s="888"/>
      <c r="Z77" s="1214"/>
      <c r="AB77" s="1532"/>
      <c r="AI77" s="837"/>
      <c r="AK77" s="1267"/>
      <c r="AV77" s="1278" t="s">
        <v>82</v>
      </c>
    </row>
    <row r="78" spans="1:58">
      <c r="F78" s="1211"/>
      <c r="G78" s="1215"/>
      <c r="H78" s="1210"/>
      <c r="S78" s="12"/>
      <c r="Z78" s="1214"/>
      <c r="AB78" s="1532"/>
      <c r="AI78" s="837"/>
      <c r="AK78" s="1267"/>
    </row>
    <row r="79" spans="1:58">
      <c r="F79" s="1211"/>
      <c r="G79" s="1215"/>
      <c r="H79" s="1210"/>
      <c r="S79" s="12"/>
      <c r="Z79" s="1214"/>
      <c r="AB79" s="1532"/>
      <c r="AI79" s="837"/>
      <c r="AK79" s="1267"/>
    </row>
    <row r="80" spans="1:58">
      <c r="F80" s="1211"/>
      <c r="G80" s="1215"/>
      <c r="H80" s="1210"/>
      <c r="S80" s="888"/>
      <c r="Z80" s="1214"/>
      <c r="AB80" s="1532"/>
      <c r="AI80" s="837"/>
      <c r="AK80" s="1267"/>
    </row>
    <row r="81" spans="6:37">
      <c r="F81" s="1211"/>
      <c r="G81" s="1215"/>
      <c r="H81" s="1210"/>
      <c r="S81" s="888"/>
      <c r="Z81" s="1214"/>
      <c r="AB81" s="1532"/>
      <c r="AI81" s="837"/>
      <c r="AK81" s="1267"/>
    </row>
    <row r="82" spans="6:37">
      <c r="F82" s="1211"/>
      <c r="G82" s="1215"/>
      <c r="H82" s="1210"/>
      <c r="S82" s="888"/>
      <c r="Z82" s="1214"/>
      <c r="AB82" s="1532"/>
      <c r="AI82" s="837"/>
      <c r="AK82" s="1267"/>
    </row>
    <row r="83" spans="6:37">
      <c r="F83" s="1211"/>
      <c r="G83" s="1215"/>
      <c r="H83" s="1210"/>
      <c r="S83" s="888"/>
      <c r="Z83" s="1214"/>
      <c r="AB83" s="1532"/>
      <c r="AK83" s="1267"/>
    </row>
    <row r="84" spans="6:37">
      <c r="F84" s="1211"/>
      <c r="G84" s="1215"/>
      <c r="H84" s="1210"/>
      <c r="S84" s="888"/>
      <c r="Z84" s="1214"/>
      <c r="AB84" s="1532"/>
      <c r="AK84" s="1267"/>
    </row>
    <row r="85" spans="6:37">
      <c r="F85" s="1211"/>
      <c r="G85" s="1215"/>
      <c r="H85" s="1210"/>
      <c r="S85" s="888"/>
      <c r="Z85" s="1214"/>
      <c r="AB85" s="1532"/>
      <c r="AK85" s="1267"/>
    </row>
    <row r="86" spans="6:37">
      <c r="F86" s="1211"/>
      <c r="G86" s="1215"/>
      <c r="H86" s="1210"/>
      <c r="S86" s="888"/>
      <c r="Z86" s="1214"/>
      <c r="AB86" s="1532"/>
      <c r="AK86" s="1267"/>
    </row>
    <row r="87" spans="6:37">
      <c r="H87" s="12"/>
      <c r="S87" s="56"/>
    </row>
  </sheetData>
  <mergeCells count="88">
    <mergeCell ref="AB76:AB86"/>
    <mergeCell ref="AI5:AN5"/>
    <mergeCell ref="AC16:AE16"/>
    <mergeCell ref="T16:X16"/>
    <mergeCell ref="AF16:AG16"/>
    <mergeCell ref="T5:X5"/>
    <mergeCell ref="Y5:Z5"/>
    <mergeCell ref="AC5:AE5"/>
    <mergeCell ref="AJ54:AJ64"/>
    <mergeCell ref="AK54:AK64"/>
    <mergeCell ref="AN54:AN64"/>
    <mergeCell ref="AI27:AN27"/>
    <mergeCell ref="AI16:AN16"/>
    <mergeCell ref="AF68:AG68"/>
    <mergeCell ref="AI68:AN68"/>
    <mergeCell ref="AI47:AN47"/>
    <mergeCell ref="D5:I5"/>
    <mergeCell ref="J5:Q5"/>
    <mergeCell ref="D13:E13"/>
    <mergeCell ref="AC27:AE27"/>
    <mergeCell ref="AF5:AG5"/>
    <mergeCell ref="Y16:Z16"/>
    <mergeCell ref="Y27:Z27"/>
    <mergeCell ref="R5:S5"/>
    <mergeCell ref="T27:X27"/>
    <mergeCell ref="AF27:AG27"/>
    <mergeCell ref="R68:S68"/>
    <mergeCell ref="K54:K64"/>
    <mergeCell ref="D34:E34"/>
    <mergeCell ref="J16:Q16"/>
    <mergeCell ref="R27:S27"/>
    <mergeCell ref="R16:S16"/>
    <mergeCell ref="J27:Q27"/>
    <mergeCell ref="D16:I16"/>
    <mergeCell ref="D24:E24"/>
    <mergeCell ref="D27:I27"/>
    <mergeCell ref="C1:AO1"/>
    <mergeCell ref="N54:N64"/>
    <mergeCell ref="J54:J64"/>
    <mergeCell ref="L54:L64"/>
    <mergeCell ref="M54:M64"/>
    <mergeCell ref="D54:E64"/>
    <mergeCell ref="F54:F64"/>
    <mergeCell ref="I54:I64"/>
    <mergeCell ref="G54:G64"/>
    <mergeCell ref="H54:H64"/>
    <mergeCell ref="AB54:AB64"/>
    <mergeCell ref="AC54:AC64"/>
    <mergeCell ref="AG54:AG64"/>
    <mergeCell ref="AF47:AG47"/>
    <mergeCell ref="AF37:AG37"/>
    <mergeCell ref="AA54:AA64"/>
    <mergeCell ref="AJ37:AN37"/>
    <mergeCell ref="D76:E76"/>
    <mergeCell ref="D68:I68"/>
    <mergeCell ref="D44:E44"/>
    <mergeCell ref="J47:Q47"/>
    <mergeCell ref="O54:O64"/>
    <mergeCell ref="P54:P64"/>
    <mergeCell ref="AI54:AI64"/>
    <mergeCell ref="AC68:AE68"/>
    <mergeCell ref="J68:Q68"/>
    <mergeCell ref="T68:X68"/>
    <mergeCell ref="Y68:Z68"/>
    <mergeCell ref="AD54:AD64"/>
    <mergeCell ref="Z54:Z64"/>
    <mergeCell ref="V54:V64"/>
    <mergeCell ref="T54:T64"/>
    <mergeCell ref="C54:C64"/>
    <mergeCell ref="AC47:AE47"/>
    <mergeCell ref="R37:S37"/>
    <mergeCell ref="T47:X47"/>
    <mergeCell ref="R47:S47"/>
    <mergeCell ref="Y37:Z37"/>
    <mergeCell ref="T37:X37"/>
    <mergeCell ref="Y47:Z47"/>
    <mergeCell ref="D37:I37"/>
    <mergeCell ref="J37:Q37"/>
    <mergeCell ref="AC37:AE37"/>
    <mergeCell ref="D47:I47"/>
    <mergeCell ref="R54:R64"/>
    <mergeCell ref="U54:U64"/>
    <mergeCell ref="S54:S64"/>
    <mergeCell ref="A2:A3"/>
    <mergeCell ref="B2:B3"/>
    <mergeCell ref="D3:I3"/>
    <mergeCell ref="J3:Q3"/>
    <mergeCell ref="AJ3:AO3"/>
  </mergeCells>
  <phoneticPr fontId="175"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192"/>
  <sheetViews>
    <sheetView topLeftCell="A67" zoomScaleNormal="100" zoomScalePageLayoutView="135" workbookViewId="0">
      <selection activeCell="BF13" sqref="BF13"/>
    </sheetView>
  </sheetViews>
  <sheetFormatPr baseColWidth="10" defaultColWidth="11" defaultRowHeight="16"/>
  <cols>
    <col min="1" max="1" width="11" style="797"/>
    <col min="2" max="2" width="7.6640625" style="29" customWidth="1"/>
    <col min="3" max="3" width="31" customWidth="1"/>
    <col min="4" max="4" width="11.1640625" customWidth="1"/>
    <col min="5" max="5" width="11.6640625" style="24" customWidth="1"/>
    <col min="6" max="6" width="13.83203125" style="579" customWidth="1"/>
    <col min="7" max="7" width="12.5" style="24" customWidth="1"/>
    <col min="8" max="8" width="11.5" style="24" customWidth="1"/>
    <col min="9" max="9" width="13" style="24" customWidth="1"/>
    <col min="10" max="10" width="9.6640625" style="24" customWidth="1"/>
    <col min="11" max="11" width="10" style="56" customWidth="1"/>
    <col min="12" max="12" width="10" style="24" customWidth="1"/>
    <col min="13" max="13" width="8.33203125" style="24" customWidth="1"/>
    <col min="14" max="14" width="8.5" style="24" customWidth="1"/>
    <col min="15" max="15" width="9.33203125" style="24" customWidth="1"/>
    <col min="16" max="16" width="7.5" style="24" customWidth="1"/>
    <col min="17" max="17" width="7.33203125" style="24" customWidth="1"/>
    <col min="18" max="18" width="11" style="56" customWidth="1"/>
    <col min="19" max="19" width="12.6640625" style="24" customWidth="1"/>
    <col min="20" max="20" width="8.83203125" style="24" customWidth="1"/>
    <col min="21" max="21" width="9.6640625" style="24" customWidth="1"/>
    <col min="22" max="22" width="9.33203125" style="24" customWidth="1"/>
    <col min="23" max="23" width="9.33203125" style="56" customWidth="1"/>
    <col min="24" max="24" width="9.83203125" style="24" customWidth="1"/>
    <col min="25" max="25" width="10" style="24" customWidth="1"/>
    <col min="26" max="26" width="16.33203125" style="24" customWidth="1"/>
    <col min="27" max="27" width="8.83203125" style="24" customWidth="1"/>
    <col min="28" max="28" width="9.83203125" style="80" customWidth="1"/>
    <col min="29" max="29" width="11.5" style="56" customWidth="1"/>
    <col min="30" max="30" width="9.33203125" style="56" customWidth="1"/>
    <col min="31" max="31" width="15.1640625" style="56" customWidth="1"/>
    <col min="32" max="32" width="10.5" style="56" customWidth="1"/>
    <col min="33" max="33" width="15.6640625" style="56" customWidth="1"/>
    <col min="34" max="34" width="10" style="56" customWidth="1"/>
    <col min="35" max="35" width="12.6640625" style="56" customWidth="1"/>
    <col min="36" max="38" width="10.83203125" style="24" customWidth="1"/>
    <col min="39" max="39" width="11.83203125" style="24" customWidth="1"/>
    <col min="40" max="40" width="10.83203125" style="56" customWidth="1"/>
    <col min="41" max="41" width="10.33203125" style="56" customWidth="1"/>
    <col min="42" max="42" width="1" style="446" customWidth="1"/>
    <col min="43" max="43" width="43.33203125" customWidth="1"/>
    <col min="44" max="46" width="8" customWidth="1"/>
    <col min="47" max="47" width="9.33203125" customWidth="1"/>
    <col min="48" max="48" width="9" customWidth="1"/>
    <col min="54" max="54" width="35" customWidth="1"/>
    <col min="55" max="55" width="10" style="2" customWidth="1"/>
    <col min="56" max="56" width="11.1640625" customWidth="1"/>
    <col min="57" max="57" width="9.1640625" customWidth="1"/>
    <col min="59" max="59" width="2.83203125" customWidth="1"/>
    <col min="60" max="60" width="8.83203125" customWidth="1"/>
    <col min="61" max="61" width="8.1640625" customWidth="1"/>
    <col min="62" max="62" width="2.33203125" customWidth="1"/>
    <col min="63" max="63" width="8.83203125" customWidth="1"/>
    <col min="64" max="64" width="8.6640625" customWidth="1"/>
    <col min="65" max="65" width="2.83203125" customWidth="1"/>
    <col min="66" max="66" width="8.33203125" customWidth="1"/>
    <col min="67" max="67" width="8.83203125" customWidth="1"/>
    <col min="68" max="68" width="2.1640625" customWidth="1"/>
    <col min="69" max="69" width="8.33203125" customWidth="1"/>
    <col min="70" max="70" width="8.1640625" customWidth="1"/>
  </cols>
  <sheetData>
    <row r="1" spans="1:70" ht="17.5" customHeight="1">
      <c r="A1" s="1281"/>
      <c r="C1" s="1356" t="s">
        <v>192</v>
      </c>
      <c r="D1" s="1437"/>
      <c r="E1" s="1437"/>
      <c r="F1" s="1437"/>
      <c r="G1" s="1437"/>
      <c r="H1" s="1437"/>
      <c r="I1" s="1437"/>
      <c r="J1" s="1437"/>
      <c r="K1" s="1437"/>
      <c r="L1" s="1437"/>
      <c r="M1" s="1437"/>
      <c r="N1" s="1437"/>
      <c r="O1" s="1438"/>
      <c r="P1" s="1438"/>
      <c r="Q1" s="1438"/>
      <c r="R1" s="1438"/>
      <c r="S1" s="1438"/>
      <c r="T1" s="1438"/>
      <c r="U1" s="1438"/>
      <c r="V1" s="1438"/>
      <c r="W1" s="1438"/>
      <c r="X1" s="1438"/>
      <c r="Y1" s="1438"/>
      <c r="Z1" s="1438"/>
      <c r="AA1" s="1438"/>
      <c r="AB1" s="1438"/>
      <c r="AC1" s="1438"/>
      <c r="AD1" s="1438"/>
      <c r="AE1" s="1438"/>
      <c r="AF1" s="1438"/>
      <c r="AG1" s="1438"/>
      <c r="AH1" s="1438"/>
      <c r="AI1" s="1438"/>
      <c r="AJ1" s="1438"/>
      <c r="AK1" s="1438"/>
      <c r="AL1" s="1438"/>
      <c r="AM1" s="1438"/>
      <c r="AN1" s="1438"/>
      <c r="AO1" s="1438"/>
      <c r="BD1" s="1311" t="s">
        <v>1226</v>
      </c>
      <c r="BE1" s="1298" t="s">
        <v>1228</v>
      </c>
      <c r="BF1" s="1298"/>
      <c r="BH1" s="1298" t="s">
        <v>1231</v>
      </c>
      <c r="BK1" s="1298" t="s">
        <v>1232</v>
      </c>
      <c r="BL1" s="1298"/>
      <c r="BN1" s="1298" t="s">
        <v>1233</v>
      </c>
      <c r="BO1" s="1298"/>
      <c r="BQ1" s="1298" t="s">
        <v>1234</v>
      </c>
      <c r="BR1" s="1298"/>
    </row>
    <row r="2" spans="1:70" s="98" customFormat="1" ht="36" customHeight="1">
      <c r="A2" s="1339" t="s">
        <v>330</v>
      </c>
      <c r="B2" s="1344" t="s">
        <v>335</v>
      </c>
      <c r="C2" s="1504" t="s">
        <v>502</v>
      </c>
      <c r="D2" s="1505"/>
      <c r="E2" s="1505"/>
      <c r="F2" s="1505"/>
      <c r="G2" s="1505"/>
      <c r="H2" s="1505"/>
      <c r="I2" s="1505"/>
      <c r="J2" s="1505"/>
      <c r="K2" s="1505"/>
      <c r="L2" s="1505"/>
      <c r="M2" s="1505"/>
      <c r="N2" s="1505"/>
      <c r="O2" s="1505"/>
      <c r="P2" s="1505"/>
      <c r="Q2" s="1505"/>
      <c r="R2" s="1506"/>
      <c r="S2" s="1506"/>
      <c r="T2" s="1506"/>
      <c r="U2" s="1506"/>
      <c r="V2" s="1506"/>
      <c r="W2" s="1506"/>
      <c r="X2" s="1506"/>
      <c r="Y2" s="1506"/>
      <c r="Z2" s="1506"/>
      <c r="AA2" s="1506"/>
      <c r="AB2" s="1506"/>
      <c r="AC2" s="1506"/>
      <c r="AD2" s="1506"/>
      <c r="AE2" s="1506"/>
      <c r="AF2" s="1506"/>
      <c r="AG2" s="1506"/>
      <c r="AH2" s="1506"/>
      <c r="AI2" s="1506"/>
      <c r="AJ2" s="1506"/>
      <c r="AK2" s="1506"/>
      <c r="AL2" s="1506"/>
      <c r="AM2" s="1506"/>
      <c r="AN2" s="1506"/>
      <c r="AO2" s="1506"/>
      <c r="AP2" s="557"/>
      <c r="BC2" s="958"/>
      <c r="BD2" s="1706" t="s">
        <v>1227</v>
      </c>
      <c r="BE2" s="1299" t="s">
        <v>1229</v>
      </c>
      <c r="BF2" s="1300" t="s">
        <v>1230</v>
      </c>
      <c r="BH2" s="1299" t="s">
        <v>1229</v>
      </c>
      <c r="BI2" s="1301" t="s">
        <v>1230</v>
      </c>
      <c r="BK2" s="1299" t="s">
        <v>1229</v>
      </c>
      <c r="BL2" s="1301" t="s">
        <v>1230</v>
      </c>
      <c r="BN2" s="1299" t="s">
        <v>1229</v>
      </c>
      <c r="BO2" s="1301" t="s">
        <v>1230</v>
      </c>
      <c r="BQ2" s="1299" t="s">
        <v>1229</v>
      </c>
      <c r="BR2" s="1301" t="s">
        <v>1230</v>
      </c>
    </row>
    <row r="3" spans="1:70" s="779" customFormat="1" ht="30" customHeight="1">
      <c r="A3" s="1340"/>
      <c r="B3" s="1345"/>
      <c r="C3" s="793" t="s">
        <v>324</v>
      </c>
      <c r="D3" s="1468" t="s">
        <v>327</v>
      </c>
      <c r="E3" s="1469"/>
      <c r="F3" s="1469"/>
      <c r="G3" s="1469"/>
      <c r="H3" s="1469"/>
      <c r="I3" s="1469"/>
      <c r="J3" s="1476" t="s">
        <v>325</v>
      </c>
      <c r="K3" s="1469"/>
      <c r="L3" s="1469"/>
      <c r="M3" s="1469"/>
      <c r="N3" s="1469"/>
      <c r="O3" s="1469"/>
      <c r="P3" s="1469"/>
      <c r="Q3" s="1469"/>
      <c r="R3" s="1345"/>
      <c r="S3" s="1345"/>
      <c r="T3" s="777"/>
      <c r="U3" s="777"/>
      <c r="V3" s="777"/>
      <c r="W3" s="777"/>
      <c r="X3" s="777"/>
      <c r="Y3" s="777"/>
      <c r="Z3" s="777"/>
      <c r="AA3" s="777"/>
      <c r="AB3" s="777"/>
      <c r="AC3" s="777"/>
      <c r="AD3" s="777"/>
      <c r="AE3" s="777"/>
      <c r="AF3" s="777"/>
      <c r="AG3" s="777"/>
      <c r="AH3" s="777"/>
      <c r="AI3" s="1474" t="s">
        <v>786</v>
      </c>
      <c r="AJ3" s="1475"/>
      <c r="AK3" s="1475"/>
      <c r="AL3" s="1475"/>
      <c r="AM3" s="1475"/>
      <c r="AN3" s="1475"/>
      <c r="AO3" s="1475"/>
      <c r="AP3" s="778"/>
      <c r="BC3" s="959"/>
    </row>
    <row r="4" spans="1:70">
      <c r="B4" s="354" t="s">
        <v>29</v>
      </c>
      <c r="C4" s="1464" t="s">
        <v>503</v>
      </c>
      <c r="D4" s="1464"/>
      <c r="E4" s="1464"/>
      <c r="F4" s="1464"/>
      <c r="G4" s="1464"/>
      <c r="H4" s="1464"/>
      <c r="I4" s="1464"/>
      <c r="J4" s="1464"/>
      <c r="K4" s="1464"/>
      <c r="L4" s="1464"/>
      <c r="M4" s="1464"/>
      <c r="N4" s="1464"/>
      <c r="O4" s="1464"/>
      <c r="P4" s="1464"/>
      <c r="Q4" s="1464"/>
      <c r="R4" s="1464"/>
      <c r="S4" s="1464"/>
      <c r="T4" s="1465"/>
      <c r="U4" s="1465"/>
      <c r="V4" s="1465"/>
      <c r="W4" s="1465"/>
      <c r="X4" s="1465"/>
      <c r="Y4" s="1465"/>
      <c r="Z4" s="1465"/>
      <c r="AA4" s="1465"/>
      <c r="AB4" s="1465"/>
      <c r="AC4" s="1465"/>
      <c r="AD4" s="1465"/>
      <c r="AE4" s="1465"/>
      <c r="AF4" s="1465"/>
      <c r="AG4" s="1465"/>
      <c r="AH4" s="1465"/>
      <c r="AI4" s="1465"/>
      <c r="AJ4" s="1465"/>
      <c r="BC4" s="980" t="s">
        <v>783</v>
      </c>
    </row>
    <row r="5" spans="1:70" s="1128" customFormat="1" ht="30" customHeight="1">
      <c r="A5" s="1126"/>
      <c r="B5" s="1136"/>
      <c r="C5" s="1117" t="s">
        <v>116</v>
      </c>
      <c r="D5" s="1466" t="s">
        <v>39</v>
      </c>
      <c r="E5" s="1467"/>
      <c r="F5" s="1467"/>
      <c r="G5" s="1467"/>
      <c r="H5" s="1467"/>
      <c r="I5" s="1426"/>
      <c r="J5" s="1470" t="s">
        <v>104</v>
      </c>
      <c r="K5" s="1471"/>
      <c r="L5" s="1472"/>
      <c r="M5" s="1472"/>
      <c r="N5" s="1472"/>
      <c r="O5" s="1472"/>
      <c r="P5" s="1473"/>
      <c r="Q5" s="1472"/>
      <c r="R5" s="1432" t="s">
        <v>22</v>
      </c>
      <c r="S5" s="1433"/>
      <c r="T5" s="1409" t="s">
        <v>136</v>
      </c>
      <c r="U5" s="1410"/>
      <c r="V5" s="1410"/>
      <c r="W5" s="1410"/>
      <c r="X5" s="1410"/>
      <c r="Y5" s="1411" t="s">
        <v>126</v>
      </c>
      <c r="Z5" s="1412"/>
      <c r="AA5" s="1118"/>
      <c r="AB5" s="1118"/>
      <c r="AC5" s="1413" t="s">
        <v>101</v>
      </c>
      <c r="AD5" s="1414"/>
      <c r="AE5" s="1414"/>
      <c r="AF5" s="1415" t="s">
        <v>23</v>
      </c>
      <c r="AG5" s="1416"/>
      <c r="AH5" s="1137"/>
      <c r="AI5" s="1417" t="s">
        <v>25</v>
      </c>
      <c r="AJ5" s="1418"/>
      <c r="AK5" s="1418"/>
      <c r="AL5" s="1418"/>
      <c r="AM5" s="1418"/>
      <c r="AN5" s="1420"/>
      <c r="AO5" s="1120"/>
      <c r="AP5" s="1125"/>
      <c r="AV5" s="1315" t="s">
        <v>82</v>
      </c>
      <c r="BC5" s="981" t="s">
        <v>784</v>
      </c>
    </row>
    <row r="6" spans="1:70">
      <c r="A6" s="799"/>
      <c r="C6" s="506"/>
      <c r="D6" s="38">
        <v>1</v>
      </c>
      <c r="E6" s="38">
        <f>D6+1</f>
        <v>2</v>
      </c>
      <c r="F6" s="574">
        <f>E6+1</f>
        <v>3</v>
      </c>
      <c r="G6" s="38">
        <f t="shared" ref="G6:S6" si="0">F6+1</f>
        <v>4</v>
      </c>
      <c r="H6" s="38">
        <f t="shared" si="0"/>
        <v>5</v>
      </c>
      <c r="I6" s="38">
        <f t="shared" si="0"/>
        <v>6</v>
      </c>
      <c r="J6" s="86">
        <f t="shared" si="0"/>
        <v>7</v>
      </c>
      <c r="K6" s="117">
        <f t="shared" si="0"/>
        <v>8</v>
      </c>
      <c r="L6" s="38">
        <f t="shared" si="0"/>
        <v>9</v>
      </c>
      <c r="M6" s="38">
        <f t="shared" si="0"/>
        <v>10</v>
      </c>
      <c r="N6" s="38">
        <f t="shared" si="0"/>
        <v>11</v>
      </c>
      <c r="O6" s="38">
        <f t="shared" si="0"/>
        <v>12</v>
      </c>
      <c r="P6" s="38">
        <f t="shared" si="0"/>
        <v>13</v>
      </c>
      <c r="Q6" s="87">
        <f t="shared" si="0"/>
        <v>14</v>
      </c>
      <c r="R6" s="117">
        <f t="shared" si="0"/>
        <v>15</v>
      </c>
      <c r="S6" s="117">
        <f t="shared" si="0"/>
        <v>16</v>
      </c>
      <c r="T6" s="360">
        <f t="shared" ref="T6:AO6" si="1">S6+1</f>
        <v>17</v>
      </c>
      <c r="U6" s="117">
        <f t="shared" si="1"/>
        <v>18</v>
      </c>
      <c r="V6" s="117">
        <f t="shared" si="1"/>
        <v>19</v>
      </c>
      <c r="W6" s="117">
        <f t="shared" si="1"/>
        <v>20</v>
      </c>
      <c r="X6" s="117">
        <f t="shared" si="1"/>
        <v>21</v>
      </c>
      <c r="Y6" s="358">
        <f t="shared" si="1"/>
        <v>22</v>
      </c>
      <c r="Z6" s="359">
        <f t="shared" si="1"/>
        <v>23</v>
      </c>
      <c r="AA6" s="86">
        <f t="shared" si="1"/>
        <v>24</v>
      </c>
      <c r="AB6" s="87">
        <f t="shared" si="1"/>
        <v>25</v>
      </c>
      <c r="AC6" s="358">
        <f t="shared" si="1"/>
        <v>26</v>
      </c>
      <c r="AD6" s="117">
        <f t="shared" si="1"/>
        <v>27</v>
      </c>
      <c r="AE6" s="117">
        <f t="shared" si="1"/>
        <v>28</v>
      </c>
      <c r="AF6" s="358">
        <f t="shared" si="1"/>
        <v>29</v>
      </c>
      <c r="AG6" s="359">
        <f t="shared" si="1"/>
        <v>30</v>
      </c>
      <c r="AH6" s="360">
        <f t="shared" si="1"/>
        <v>31</v>
      </c>
      <c r="AI6" s="364">
        <f>AH6+1</f>
        <v>32</v>
      </c>
      <c r="AJ6" s="38">
        <f>AI6+1</f>
        <v>33</v>
      </c>
      <c r="AK6" s="38">
        <f t="shared" si="1"/>
        <v>34</v>
      </c>
      <c r="AL6" s="38">
        <f t="shared" si="1"/>
        <v>35</v>
      </c>
      <c r="AM6" s="38">
        <f t="shared" si="1"/>
        <v>36</v>
      </c>
      <c r="AN6" s="359">
        <f>AM6+1</f>
        <v>37</v>
      </c>
      <c r="AO6" s="87">
        <f t="shared" si="1"/>
        <v>38</v>
      </c>
      <c r="AP6" s="447"/>
      <c r="BC6" s="982" t="s">
        <v>785</v>
      </c>
    </row>
    <row r="7" spans="1:70" ht="117" customHeight="1">
      <c r="A7" s="799"/>
      <c r="B7" s="335"/>
      <c r="C7" s="1022" t="s">
        <v>504</v>
      </c>
      <c r="D7" s="1023" t="s">
        <v>809</v>
      </c>
      <c r="E7" s="1024" t="s">
        <v>505</v>
      </c>
      <c r="F7" s="1025" t="s">
        <v>810</v>
      </c>
      <c r="G7" s="1025" t="s">
        <v>811</v>
      </c>
      <c r="H7" s="418" t="s">
        <v>812</v>
      </c>
      <c r="I7" s="820" t="s">
        <v>507</v>
      </c>
      <c r="J7" s="1026" t="s">
        <v>508</v>
      </c>
      <c r="K7" s="1025" t="s">
        <v>813</v>
      </c>
      <c r="L7" s="1025" t="s">
        <v>814</v>
      </c>
      <c r="M7" s="1025" t="s">
        <v>815</v>
      </c>
      <c r="N7" s="1025" t="s">
        <v>511</v>
      </c>
      <c r="O7" s="1025" t="s">
        <v>816</v>
      </c>
      <c r="P7" s="1025" t="s">
        <v>817</v>
      </c>
      <c r="Q7" s="1027" t="s">
        <v>418</v>
      </c>
      <c r="R7" s="488" t="s">
        <v>514</v>
      </c>
      <c r="S7" s="437" t="s">
        <v>448</v>
      </c>
      <c r="T7" s="1031" t="s">
        <v>515</v>
      </c>
      <c r="U7" s="819" t="s">
        <v>516</v>
      </c>
      <c r="V7" s="819" t="s">
        <v>517</v>
      </c>
      <c r="W7" s="819" t="s">
        <v>518</v>
      </c>
      <c r="X7" s="819" t="s">
        <v>519</v>
      </c>
      <c r="Y7" s="175" t="s">
        <v>425</v>
      </c>
      <c r="Z7" s="545" t="s">
        <v>520</v>
      </c>
      <c r="AA7" s="819" t="s">
        <v>427</v>
      </c>
      <c r="AB7" s="819" t="s">
        <v>428</v>
      </c>
      <c r="AC7" s="1026" t="s">
        <v>429</v>
      </c>
      <c r="AD7" s="819" t="s">
        <v>521</v>
      </c>
      <c r="AE7" s="819" t="s">
        <v>522</v>
      </c>
      <c r="AF7" s="154" t="s">
        <v>523</v>
      </c>
      <c r="AG7" s="568" t="s">
        <v>524</v>
      </c>
      <c r="AH7" s="1031" t="s">
        <v>525</v>
      </c>
      <c r="AI7" s="1054" t="s">
        <v>346</v>
      </c>
      <c r="AJ7" s="1055" t="s">
        <v>820</v>
      </c>
      <c r="AK7" s="1054" t="s">
        <v>823</v>
      </c>
      <c r="AL7" s="1056" t="s">
        <v>822</v>
      </c>
      <c r="AM7" s="819" t="s">
        <v>824</v>
      </c>
      <c r="AN7" s="820" t="s">
        <v>343</v>
      </c>
      <c r="AO7" s="470" t="s">
        <v>526</v>
      </c>
      <c r="AQ7" s="1044" t="s">
        <v>527</v>
      </c>
      <c r="AR7" s="418" t="s">
        <v>438</v>
      </c>
      <c r="AS7" s="418" t="s">
        <v>827</v>
      </c>
      <c r="AT7" s="418" t="s">
        <v>826</v>
      </c>
      <c r="AU7" s="861" t="s">
        <v>403</v>
      </c>
      <c r="AV7" s="861" t="s">
        <v>746</v>
      </c>
      <c r="BB7" s="16"/>
      <c r="BC7" s="978" t="s">
        <v>779</v>
      </c>
      <c r="BD7" s="32"/>
      <c r="BE7" s="33"/>
    </row>
    <row r="8" spans="1:70" s="391" customFormat="1">
      <c r="A8" s="798">
        <v>1</v>
      </c>
      <c r="B8" s="770">
        <v>1</v>
      </c>
      <c r="C8" s="392" t="s">
        <v>885</v>
      </c>
      <c r="D8" s="1047">
        <v>112</v>
      </c>
      <c r="E8" s="1048">
        <f>(2*D8)</f>
        <v>224</v>
      </c>
      <c r="F8" s="1049">
        <f>(2*108)</f>
        <v>216</v>
      </c>
      <c r="G8" s="1050">
        <f>F8*1.15</f>
        <v>248.39999999999998</v>
      </c>
      <c r="H8" s="396">
        <f>(E8*(0.23))</f>
        <v>51.52</v>
      </c>
      <c r="I8" s="395">
        <f>0.5*(H8*1.1)</f>
        <v>28.336000000000006</v>
      </c>
      <c r="J8" s="1052" t="s">
        <v>111</v>
      </c>
      <c r="K8" s="1052" t="s">
        <v>111</v>
      </c>
      <c r="L8" s="1053">
        <v>160</v>
      </c>
      <c r="M8" s="1052" t="s">
        <v>111</v>
      </c>
      <c r="N8" s="1052" t="s">
        <v>111</v>
      </c>
      <c r="O8" s="1052" t="s">
        <v>111</v>
      </c>
      <c r="P8" s="1052" t="s">
        <v>111</v>
      </c>
      <c r="Q8" s="1053">
        <f>SUM(J8:P8)</f>
        <v>160</v>
      </c>
      <c r="R8" s="393">
        <f>2*Q8</f>
        <v>320</v>
      </c>
      <c r="S8" s="635">
        <f>R8+(2*71)</f>
        <v>462</v>
      </c>
      <c r="T8" s="636">
        <v>0</v>
      </c>
      <c r="U8" s="642">
        <v>13</v>
      </c>
      <c r="V8" s="639">
        <v>0</v>
      </c>
      <c r="W8" s="642" t="s">
        <v>111</v>
      </c>
      <c r="X8" s="639">
        <f>SUM(T8:W8)</f>
        <v>13</v>
      </c>
      <c r="Y8" s="519">
        <f>2*X8</f>
        <v>26</v>
      </c>
      <c r="Z8" s="520">
        <f>(Y8+(23))</f>
        <v>49</v>
      </c>
      <c r="AA8" s="639">
        <f>Z8-H8</f>
        <v>-2.5200000000000031</v>
      </c>
      <c r="AB8" s="639">
        <f>Z8-I8</f>
        <v>20.663999999999994</v>
      </c>
      <c r="AC8" s="394">
        <v>0</v>
      </c>
      <c r="AD8" s="642">
        <v>0</v>
      </c>
      <c r="AE8" s="642">
        <f>X8-V8+AD8</f>
        <v>13</v>
      </c>
      <c r="AF8" s="523">
        <f>2*AE8</f>
        <v>26</v>
      </c>
      <c r="AG8" s="524">
        <f>AF8+(23)</f>
        <v>49</v>
      </c>
      <c r="AH8" s="638">
        <f>AG8-I8</f>
        <v>20.663999999999994</v>
      </c>
      <c r="AI8" s="948" t="s">
        <v>344</v>
      </c>
      <c r="AJ8" s="1057">
        <v>240</v>
      </c>
      <c r="AK8" s="1058">
        <f>(2*AJ8)+(2*71)+(2*45)</f>
        <v>712</v>
      </c>
      <c r="AL8" s="1057">
        <f>S8-AK8</f>
        <v>-250</v>
      </c>
      <c r="AM8" s="666" t="s">
        <v>113</v>
      </c>
      <c r="AN8" s="395">
        <f>906+(23)</f>
        <v>929</v>
      </c>
      <c r="AO8" s="396">
        <f>Z8-AN8</f>
        <v>-880</v>
      </c>
      <c r="AP8" s="558"/>
      <c r="AQ8" s="392" t="s">
        <v>747</v>
      </c>
      <c r="AR8" s="695">
        <f>H8</f>
        <v>51.52</v>
      </c>
      <c r="AS8" s="695">
        <f>Z8</f>
        <v>49</v>
      </c>
      <c r="AT8" s="695">
        <f>AN8</f>
        <v>929</v>
      </c>
      <c r="AU8" s="696">
        <f>S8-G8</f>
        <v>213.60000000000002</v>
      </c>
      <c r="AV8" s="697">
        <f>AL8</f>
        <v>-250</v>
      </c>
      <c r="BB8" s="399"/>
      <c r="BC8" s="966">
        <f>B8</f>
        <v>1</v>
      </c>
      <c r="BD8" s="400"/>
      <c r="BE8" s="397"/>
      <c r="BF8" s="391">
        <v>1</v>
      </c>
    </row>
    <row r="9" spans="1:70" s="401" customFormat="1">
      <c r="A9" s="798">
        <f>A8+1</f>
        <v>2</v>
      </c>
      <c r="B9" s="770">
        <f>B8+1</f>
        <v>2</v>
      </c>
      <c r="C9" s="392" t="s">
        <v>193</v>
      </c>
      <c r="D9" s="1051">
        <v>128</v>
      </c>
      <c r="E9" s="1050">
        <f>(2*D9)</f>
        <v>256</v>
      </c>
      <c r="F9" s="1049">
        <f>2*135</f>
        <v>270</v>
      </c>
      <c r="G9" s="1050">
        <f>F9*1.15</f>
        <v>310.5</v>
      </c>
      <c r="H9" s="396">
        <f t="shared" ref="H9:H12" si="2">(E9*(0.23))</f>
        <v>58.88</v>
      </c>
      <c r="I9" s="395">
        <f>0.5*(H9*1.1)</f>
        <v>32.384000000000007</v>
      </c>
      <c r="J9" s="1053">
        <v>22</v>
      </c>
      <c r="K9" s="1053">
        <v>15</v>
      </c>
      <c r="L9" s="1053">
        <v>160</v>
      </c>
      <c r="M9" s="1052" t="s">
        <v>111</v>
      </c>
      <c r="N9" s="1052" t="s">
        <v>111</v>
      </c>
      <c r="O9" s="1052" t="s">
        <v>111</v>
      </c>
      <c r="P9" s="1052" t="s">
        <v>111</v>
      </c>
      <c r="Q9" s="1053">
        <f>SUM(J9:P9)</f>
        <v>197</v>
      </c>
      <c r="R9" s="393">
        <f>2*Q9</f>
        <v>394</v>
      </c>
      <c r="S9" s="635">
        <f>R9+(2*71)</f>
        <v>536</v>
      </c>
      <c r="T9" s="637">
        <v>6.5</v>
      </c>
      <c r="U9" s="642">
        <v>13</v>
      </c>
      <c r="V9" s="639">
        <v>0</v>
      </c>
      <c r="W9" s="642" t="s">
        <v>111</v>
      </c>
      <c r="X9" s="639">
        <f>SUM(T9:W9)</f>
        <v>19.5</v>
      </c>
      <c r="Y9" s="519">
        <f>2*X9</f>
        <v>39</v>
      </c>
      <c r="Z9" s="520">
        <f>(Y9+(23))</f>
        <v>62</v>
      </c>
      <c r="AA9" s="639">
        <f>Z9-H9</f>
        <v>3.1199999999999974</v>
      </c>
      <c r="AB9" s="639">
        <f>Z9-I9</f>
        <v>29.615999999999993</v>
      </c>
      <c r="AC9" s="394">
        <v>0</v>
      </c>
      <c r="AD9" s="642">
        <v>0</v>
      </c>
      <c r="AE9" s="642">
        <f>X9-V9+AD9</f>
        <v>19.5</v>
      </c>
      <c r="AF9" s="523">
        <f>2*AE9</f>
        <v>39</v>
      </c>
      <c r="AG9" s="524">
        <f>AF9+(23)</f>
        <v>62</v>
      </c>
      <c r="AH9" s="638">
        <f>AG9-I9</f>
        <v>29.615999999999993</v>
      </c>
      <c r="AI9" s="948" t="s">
        <v>344</v>
      </c>
      <c r="AJ9" s="1058">
        <v>240</v>
      </c>
      <c r="AK9" s="1058">
        <f>(2*AJ9)+(2*71)+(2*45)</f>
        <v>712</v>
      </c>
      <c r="AL9" s="1058">
        <f>S9-AK9</f>
        <v>-176</v>
      </c>
      <c r="AM9" s="822">
        <v>15</v>
      </c>
      <c r="AN9" s="395">
        <f>906+(23)+AM9</f>
        <v>944</v>
      </c>
      <c r="AO9" s="396">
        <f>Z9-AN9</f>
        <v>-882</v>
      </c>
      <c r="AP9" s="558"/>
      <c r="AQ9" s="392" t="s">
        <v>72</v>
      </c>
      <c r="AR9" s="695">
        <f t="shared" ref="AR9:AR12" si="3">H9</f>
        <v>58.88</v>
      </c>
      <c r="AS9" s="695">
        <f t="shared" ref="AS9:AS12" si="4">Z9</f>
        <v>62</v>
      </c>
      <c r="AT9" s="695">
        <f t="shared" ref="AT9:AT12" si="5">AN9</f>
        <v>944</v>
      </c>
      <c r="AU9" s="696">
        <f t="shared" ref="AU9:AU12" si="6">S9-G9</f>
        <v>225.5</v>
      </c>
      <c r="AV9" s="697">
        <f t="shared" ref="AV9:AV12" si="7">AL9</f>
        <v>-176</v>
      </c>
      <c r="BB9" s="402"/>
      <c r="BC9" s="966">
        <f t="shared" ref="BC9:BC12" si="8">B9</f>
        <v>2</v>
      </c>
      <c r="BD9" s="403"/>
      <c r="BE9" s="398"/>
      <c r="BF9" s="1287">
        <v>1</v>
      </c>
    </row>
    <row r="10" spans="1:70" s="391" customFormat="1">
      <c r="A10" s="798">
        <f t="shared" ref="A10:A12" si="9">A9+1</f>
        <v>3</v>
      </c>
      <c r="B10" s="770">
        <f>B9+1</f>
        <v>3</v>
      </c>
      <c r="C10" s="392" t="s">
        <v>886</v>
      </c>
      <c r="D10" s="1047">
        <v>196</v>
      </c>
      <c r="E10" s="1048">
        <f>(2*D10)</f>
        <v>392</v>
      </c>
      <c r="F10" s="1049">
        <f>(2*176)</f>
        <v>352</v>
      </c>
      <c r="G10" s="1050">
        <f>F10*1.15</f>
        <v>404.79999999999995</v>
      </c>
      <c r="H10" s="396">
        <f t="shared" si="2"/>
        <v>90.160000000000011</v>
      </c>
      <c r="I10" s="395">
        <f>0.5*(H10*1.1)</f>
        <v>49.588000000000008</v>
      </c>
      <c r="J10" s="1053">
        <v>0</v>
      </c>
      <c r="K10" s="1053">
        <v>0</v>
      </c>
      <c r="L10" s="1053">
        <v>160</v>
      </c>
      <c r="M10" s="1053">
        <v>15</v>
      </c>
      <c r="N10" s="1053">
        <f>183-147</f>
        <v>36</v>
      </c>
      <c r="O10" s="1052" t="s">
        <v>111</v>
      </c>
      <c r="P10" s="1052" t="s">
        <v>111</v>
      </c>
      <c r="Q10" s="1053">
        <f>SUM(J10:P10)</f>
        <v>211</v>
      </c>
      <c r="R10" s="393">
        <f>2*Q10</f>
        <v>422</v>
      </c>
      <c r="S10" s="635">
        <f>R10+(2*71)</f>
        <v>564</v>
      </c>
      <c r="T10" s="638">
        <v>0</v>
      </c>
      <c r="U10" s="642">
        <v>13</v>
      </c>
      <c r="V10" s="639">
        <v>54</v>
      </c>
      <c r="W10" s="642" t="s">
        <v>111</v>
      </c>
      <c r="X10" s="639">
        <f>SUM(T10:W10)</f>
        <v>67</v>
      </c>
      <c r="Y10" s="519">
        <f>2*X10</f>
        <v>134</v>
      </c>
      <c r="Z10" s="520">
        <f>(Y10+(23))</f>
        <v>157</v>
      </c>
      <c r="AA10" s="639">
        <f>Z10-H10</f>
        <v>66.839999999999989</v>
      </c>
      <c r="AB10" s="639">
        <f>Z10-I10</f>
        <v>107.41199999999999</v>
      </c>
      <c r="AC10" s="394">
        <v>74</v>
      </c>
      <c r="AD10" s="642">
        <f>(33.89)+(AC10*0.2095)</f>
        <v>49.393000000000001</v>
      </c>
      <c r="AE10" s="642">
        <f>X10-V10+AD10</f>
        <v>62.393000000000001</v>
      </c>
      <c r="AF10" s="523">
        <f>2*AE10</f>
        <v>124.786</v>
      </c>
      <c r="AG10" s="524">
        <f>AF10+(23)</f>
        <v>147.786</v>
      </c>
      <c r="AH10" s="638">
        <f>AG10-I10</f>
        <v>98.197999999999993</v>
      </c>
      <c r="AI10" s="948" t="s">
        <v>345</v>
      </c>
      <c r="AJ10" s="1057">
        <v>74</v>
      </c>
      <c r="AK10" s="1058">
        <f>(2*AJ10)+(2*71)+(2*45)</f>
        <v>380</v>
      </c>
      <c r="AL10" s="1057">
        <f>S10-AK10</f>
        <v>184</v>
      </c>
      <c r="AM10" s="821">
        <v>15</v>
      </c>
      <c r="AN10" s="395">
        <f>373+(23)+AM10</f>
        <v>411</v>
      </c>
      <c r="AO10" s="396">
        <f>Z10-AN10</f>
        <v>-254</v>
      </c>
      <c r="AP10" s="558"/>
      <c r="AQ10" s="392" t="s">
        <v>748</v>
      </c>
      <c r="AR10" s="695">
        <f t="shared" si="3"/>
        <v>90.160000000000011</v>
      </c>
      <c r="AS10" s="695">
        <f t="shared" si="4"/>
        <v>157</v>
      </c>
      <c r="AT10" s="695">
        <f t="shared" si="5"/>
        <v>411</v>
      </c>
      <c r="AU10" s="696">
        <f t="shared" si="6"/>
        <v>159.20000000000005</v>
      </c>
      <c r="AV10" s="697">
        <f t="shared" si="7"/>
        <v>184</v>
      </c>
      <c r="BB10" s="399"/>
      <c r="BC10" s="966">
        <f t="shared" si="8"/>
        <v>3</v>
      </c>
      <c r="BD10" s="400"/>
      <c r="BE10" s="397"/>
      <c r="BF10" s="1287">
        <v>1</v>
      </c>
    </row>
    <row r="11" spans="1:70" s="405" customFormat="1" ht="15" customHeight="1">
      <c r="A11" s="798">
        <f t="shared" si="9"/>
        <v>4</v>
      </c>
      <c r="B11" s="770">
        <f>B10+1</f>
        <v>4</v>
      </c>
      <c r="C11" s="404" t="s">
        <v>194</v>
      </c>
      <c r="D11" s="1051">
        <v>211</v>
      </c>
      <c r="E11" s="1049">
        <f>2*D11</f>
        <v>422</v>
      </c>
      <c r="F11" s="1049">
        <f>2*219</f>
        <v>438</v>
      </c>
      <c r="G11" s="1050">
        <f>F11*1.15</f>
        <v>503.7</v>
      </c>
      <c r="H11" s="396">
        <f t="shared" si="2"/>
        <v>97.06</v>
      </c>
      <c r="I11" s="298">
        <f>0.5*(H11*1.1)</f>
        <v>53.383000000000003</v>
      </c>
      <c r="J11" s="1051">
        <v>22</v>
      </c>
      <c r="K11" s="1049">
        <v>15</v>
      </c>
      <c r="L11" s="1053">
        <v>160</v>
      </c>
      <c r="M11" s="1053">
        <v>15</v>
      </c>
      <c r="N11" s="1053">
        <f t="shared" ref="N11:N12" si="10">183-147</f>
        <v>36</v>
      </c>
      <c r="O11" s="1052" t="s">
        <v>111</v>
      </c>
      <c r="P11" s="1052" t="s">
        <v>111</v>
      </c>
      <c r="Q11" s="1049">
        <f>SUM(J11:P11)</f>
        <v>248</v>
      </c>
      <c r="R11" s="393">
        <f>2*Q11</f>
        <v>496</v>
      </c>
      <c r="S11" s="635">
        <f>R11+(2*71)</f>
        <v>638</v>
      </c>
      <c r="T11" s="637">
        <v>6.5</v>
      </c>
      <c r="U11" s="642">
        <v>13</v>
      </c>
      <c r="V11" s="639">
        <v>54</v>
      </c>
      <c r="W11" s="642" t="s">
        <v>111</v>
      </c>
      <c r="X11" s="639">
        <f>SUM(T11:W11)</f>
        <v>73.5</v>
      </c>
      <c r="Y11" s="521">
        <f>2*X11</f>
        <v>147</v>
      </c>
      <c r="Z11" s="520">
        <f>(Y11+(23))</f>
        <v>170</v>
      </c>
      <c r="AA11" s="640">
        <f>Z11-H11</f>
        <v>72.94</v>
      </c>
      <c r="AB11" s="641">
        <f>Z11-I11</f>
        <v>116.61699999999999</v>
      </c>
      <c r="AC11" s="394">
        <v>74</v>
      </c>
      <c r="AD11" s="642">
        <f>(33.89)+(AC11*0.2095)</f>
        <v>49.393000000000001</v>
      </c>
      <c r="AE11" s="642">
        <f>X11-V11+AD11</f>
        <v>68.893000000000001</v>
      </c>
      <c r="AF11" s="525">
        <f>2*AE11</f>
        <v>137.786</v>
      </c>
      <c r="AG11" s="590">
        <f>AF11+(23)</f>
        <v>160.786</v>
      </c>
      <c r="AH11" s="639">
        <f>AG11-I11</f>
        <v>107.40299999999999</v>
      </c>
      <c r="AI11" s="952" t="s">
        <v>345</v>
      </c>
      <c r="AJ11" s="1057">
        <v>74</v>
      </c>
      <c r="AK11" s="1058">
        <f>(2*AJ11)+(2*71)+(2*45)</f>
        <v>380</v>
      </c>
      <c r="AL11" s="1058">
        <f>S11-AK11</f>
        <v>258</v>
      </c>
      <c r="AM11" s="822">
        <f>15+15</f>
        <v>30</v>
      </c>
      <c r="AN11" s="395">
        <f>373+(23)+AM11</f>
        <v>426</v>
      </c>
      <c r="AO11" s="395">
        <f>Z11-AN11</f>
        <v>-256</v>
      </c>
      <c r="AP11" s="559"/>
      <c r="AQ11" s="404" t="s">
        <v>316</v>
      </c>
      <c r="AR11" s="695">
        <f t="shared" si="3"/>
        <v>97.06</v>
      </c>
      <c r="AS11" s="695">
        <f t="shared" si="4"/>
        <v>170</v>
      </c>
      <c r="AT11" s="695">
        <f t="shared" si="5"/>
        <v>426</v>
      </c>
      <c r="AU11" s="696">
        <f t="shared" si="6"/>
        <v>134.30000000000001</v>
      </c>
      <c r="AV11" s="697">
        <f t="shared" si="7"/>
        <v>258</v>
      </c>
      <c r="BC11" s="966">
        <f t="shared" si="8"/>
        <v>4</v>
      </c>
      <c r="BD11" s="824"/>
      <c r="BF11" s="1287">
        <v>1</v>
      </c>
    </row>
    <row r="12" spans="1:70" s="405" customFormat="1" ht="15" customHeight="1">
      <c r="A12" s="798">
        <f t="shared" si="9"/>
        <v>5</v>
      </c>
      <c r="B12" s="770">
        <f>B11+1</f>
        <v>5</v>
      </c>
      <c r="C12" s="404" t="s">
        <v>195</v>
      </c>
      <c r="D12" s="1051">
        <v>225</v>
      </c>
      <c r="E12" s="1049">
        <f>2*D12</f>
        <v>450</v>
      </c>
      <c r="F12" s="1049">
        <f>2*219</f>
        <v>438</v>
      </c>
      <c r="G12" s="1050">
        <f>F12*1.15</f>
        <v>503.7</v>
      </c>
      <c r="H12" s="396">
        <f t="shared" si="2"/>
        <v>103.5</v>
      </c>
      <c r="I12" s="298">
        <f>0.5*(H12*1.1)</f>
        <v>56.925000000000004</v>
      </c>
      <c r="J12" s="1051">
        <v>42</v>
      </c>
      <c r="K12" s="1049">
        <v>15</v>
      </c>
      <c r="L12" s="1053">
        <v>160</v>
      </c>
      <c r="M12" s="1053">
        <v>15</v>
      </c>
      <c r="N12" s="1053">
        <f t="shared" si="10"/>
        <v>36</v>
      </c>
      <c r="O12" s="1052" t="s">
        <v>111</v>
      </c>
      <c r="P12" s="1052" t="s">
        <v>111</v>
      </c>
      <c r="Q12" s="1049">
        <f>SUM(J12:P12)</f>
        <v>268</v>
      </c>
      <c r="R12" s="393">
        <f>2*Q12</f>
        <v>536</v>
      </c>
      <c r="S12" s="635">
        <f>R12+(2*71)</f>
        <v>678</v>
      </c>
      <c r="T12" s="637">
        <v>8.75</v>
      </c>
      <c r="U12" s="642">
        <v>13</v>
      </c>
      <c r="V12" s="639">
        <v>54</v>
      </c>
      <c r="W12" s="642" t="s">
        <v>111</v>
      </c>
      <c r="X12" s="639">
        <f>SUM(T12:W12)</f>
        <v>75.75</v>
      </c>
      <c r="Y12" s="521">
        <f>2*X12</f>
        <v>151.5</v>
      </c>
      <c r="Z12" s="520">
        <f>(Y12+(23))</f>
        <v>174.5</v>
      </c>
      <c r="AA12" s="640">
        <f>Z12-H12</f>
        <v>71</v>
      </c>
      <c r="AB12" s="641">
        <f>Z12-I12</f>
        <v>117.57499999999999</v>
      </c>
      <c r="AC12" s="394">
        <v>74</v>
      </c>
      <c r="AD12" s="642">
        <f>(33.89)+(AC12*0.2095)</f>
        <v>49.393000000000001</v>
      </c>
      <c r="AE12" s="642">
        <f>X12-V12+AD12</f>
        <v>71.143000000000001</v>
      </c>
      <c r="AF12" s="525">
        <f>2*AE12</f>
        <v>142.286</v>
      </c>
      <c r="AG12" s="590">
        <f>AF12+(23)</f>
        <v>165.286</v>
      </c>
      <c r="AH12" s="639">
        <f>AG12-I12</f>
        <v>108.36099999999999</v>
      </c>
      <c r="AI12" s="952" t="s">
        <v>345</v>
      </c>
      <c r="AJ12" s="1057">
        <v>74</v>
      </c>
      <c r="AK12" s="1058">
        <f>(2*AJ12)+(2*71)+(2*45)</f>
        <v>380</v>
      </c>
      <c r="AL12" s="1058">
        <f>S12-AK12</f>
        <v>298</v>
      </c>
      <c r="AM12" s="822">
        <f>15+15</f>
        <v>30</v>
      </c>
      <c r="AN12" s="395">
        <f>373+(23)+AM12</f>
        <v>426</v>
      </c>
      <c r="AO12" s="395">
        <f>Z12-AN12</f>
        <v>-251.5</v>
      </c>
      <c r="AP12" s="559"/>
      <c r="AQ12" s="404" t="s">
        <v>317</v>
      </c>
      <c r="AR12" s="695">
        <f t="shared" si="3"/>
        <v>103.5</v>
      </c>
      <c r="AS12" s="695">
        <f t="shared" si="4"/>
        <v>174.5</v>
      </c>
      <c r="AT12" s="695">
        <f t="shared" si="5"/>
        <v>426</v>
      </c>
      <c r="AU12" s="696">
        <f t="shared" si="6"/>
        <v>174.3</v>
      </c>
      <c r="AV12" s="697">
        <f t="shared" si="7"/>
        <v>298</v>
      </c>
      <c r="BC12" s="966">
        <f t="shared" si="8"/>
        <v>5</v>
      </c>
      <c r="BD12" s="824"/>
      <c r="BF12" s="1287">
        <v>1</v>
      </c>
    </row>
    <row r="13" spans="1:70" ht="333" customHeight="1">
      <c r="A13" s="799"/>
      <c r="C13" s="1022" t="s">
        <v>833</v>
      </c>
      <c r="D13" s="1427" t="s">
        <v>849</v>
      </c>
      <c r="E13" s="1399"/>
      <c r="F13" s="1013" t="s">
        <v>850</v>
      </c>
      <c r="G13" s="1045" t="s">
        <v>851</v>
      </c>
      <c r="H13" s="1046" t="s">
        <v>190</v>
      </c>
      <c r="I13" s="844"/>
      <c r="J13" s="1042" t="s">
        <v>41</v>
      </c>
      <c r="K13" s="1043" t="s">
        <v>828</v>
      </c>
      <c r="L13" s="1042" t="s">
        <v>151</v>
      </c>
      <c r="M13" s="1044" t="s">
        <v>829</v>
      </c>
      <c r="N13" s="1044" t="s">
        <v>830</v>
      </c>
      <c r="O13" s="1019"/>
      <c r="P13" s="1019"/>
      <c r="Q13" s="1019"/>
      <c r="R13" s="333"/>
      <c r="S13" s="1038" t="s">
        <v>1158</v>
      </c>
      <c r="T13" s="1039" t="s">
        <v>818</v>
      </c>
      <c r="U13" s="1035" t="s">
        <v>848</v>
      </c>
      <c r="V13" s="866" t="s">
        <v>130</v>
      </c>
      <c r="X13" s="40"/>
      <c r="Y13" s="96"/>
      <c r="Z13" s="1230" t="s">
        <v>1148</v>
      </c>
      <c r="AA13" s="1035"/>
      <c r="AB13" s="1036" t="s">
        <v>831</v>
      </c>
      <c r="AC13" s="589" t="s">
        <v>847</v>
      </c>
      <c r="AD13" s="1036" t="s">
        <v>832</v>
      </c>
      <c r="AE13" s="120"/>
      <c r="AF13" s="214"/>
      <c r="AG13" s="1230" t="s">
        <v>1148</v>
      </c>
      <c r="AH13" s="362"/>
      <c r="AI13" s="1011" t="s">
        <v>819</v>
      </c>
      <c r="AJ13" s="658" t="s">
        <v>821</v>
      </c>
      <c r="AK13" s="999"/>
      <c r="AL13" s="36"/>
      <c r="AM13" s="36"/>
      <c r="AN13" s="540" t="s">
        <v>46</v>
      </c>
      <c r="AO13" s="61"/>
      <c r="AQ13" s="1059" t="s">
        <v>825</v>
      </c>
      <c r="AR13" s="704"/>
      <c r="AS13" s="704"/>
      <c r="AT13" s="704"/>
      <c r="AU13" s="704"/>
    </row>
    <row r="14" spans="1:70" s="12" customFormat="1" ht="17">
      <c r="A14" s="799"/>
      <c r="B14" s="124"/>
      <c r="C14" s="10"/>
      <c r="D14" s="10"/>
      <c r="E14" s="135"/>
      <c r="F14" s="575"/>
      <c r="G14" s="135"/>
      <c r="H14" s="136"/>
      <c r="I14" s="131"/>
      <c r="J14" s="131"/>
      <c r="K14" s="788"/>
      <c r="L14" s="131"/>
      <c r="M14" s="131"/>
      <c r="N14" s="131"/>
      <c r="O14" s="131"/>
      <c r="P14" s="131"/>
      <c r="Q14" s="131"/>
      <c r="R14" s="126" t="s">
        <v>82</v>
      </c>
      <c r="S14" s="131"/>
      <c r="T14" s="131"/>
      <c r="U14" s="131"/>
      <c r="V14" s="131"/>
      <c r="W14" s="131"/>
      <c r="X14" s="131"/>
      <c r="Y14" s="28"/>
      <c r="Z14" s="28"/>
      <c r="AA14" s="28"/>
      <c r="AB14" s="144"/>
      <c r="AC14" s="131"/>
      <c r="AD14" s="131"/>
      <c r="AE14" s="131"/>
      <c r="AF14" s="28"/>
      <c r="AG14" s="28"/>
      <c r="AH14" s="137"/>
      <c r="AI14" s="137"/>
      <c r="AJ14" s="60"/>
      <c r="AK14" s="127"/>
      <c r="AL14" s="28"/>
      <c r="AM14" s="28"/>
      <c r="AN14" s="61"/>
      <c r="AO14" s="61"/>
      <c r="AP14" s="446"/>
      <c r="AQ14" s="35"/>
      <c r="AV14" s="508" t="s">
        <v>82</v>
      </c>
      <c r="BC14" s="166"/>
    </row>
    <row r="15" spans="1:70" s="12" customFormat="1">
      <c r="A15" s="799"/>
      <c r="B15" s="124"/>
      <c r="C15" s="10"/>
      <c r="D15" s="10"/>
      <c r="E15" s="135"/>
      <c r="F15" s="575"/>
      <c r="G15" s="135"/>
      <c r="H15" s="136"/>
      <c r="I15" s="131"/>
      <c r="J15" s="131"/>
      <c r="K15" s="788"/>
      <c r="L15" s="131"/>
      <c r="M15" s="131"/>
      <c r="N15" s="131"/>
      <c r="O15" s="131"/>
      <c r="P15" s="131"/>
      <c r="Q15" s="131"/>
      <c r="R15" s="126"/>
      <c r="S15" s="131"/>
      <c r="T15" s="131"/>
      <c r="U15" s="131"/>
      <c r="V15" s="131"/>
      <c r="W15" s="131"/>
      <c r="X15" s="131"/>
      <c r="Y15" s="28"/>
      <c r="Z15" s="28"/>
      <c r="AA15" s="28"/>
      <c r="AB15" s="144"/>
      <c r="AC15" s="131"/>
      <c r="AD15" s="131"/>
      <c r="AE15" s="131"/>
      <c r="AF15" s="28"/>
      <c r="AG15" s="28"/>
      <c r="AH15" s="137"/>
      <c r="AI15" s="137"/>
      <c r="AJ15" s="60"/>
      <c r="AK15" s="127"/>
      <c r="AL15" s="28"/>
      <c r="AM15" s="28"/>
      <c r="AN15" s="61"/>
      <c r="AO15" s="61"/>
      <c r="AP15" s="446"/>
      <c r="AQ15" s="35"/>
      <c r="BC15" s="166"/>
    </row>
    <row r="16" spans="1:70" s="12" customFormat="1">
      <c r="A16" s="799"/>
      <c r="B16" s="354" t="s">
        <v>30</v>
      </c>
      <c r="C16" s="1421" t="s">
        <v>503</v>
      </c>
      <c r="D16" s="1422"/>
      <c r="E16" s="1422"/>
      <c r="F16" s="1422"/>
      <c r="G16" s="1422"/>
      <c r="H16" s="1422"/>
      <c r="I16" s="1422"/>
      <c r="J16" s="1422"/>
      <c r="K16" s="1422"/>
      <c r="L16" s="1422"/>
      <c r="M16" s="1422"/>
      <c r="N16" s="1422"/>
      <c r="O16" s="1422"/>
      <c r="P16" s="1422"/>
      <c r="Q16" s="1422"/>
      <c r="R16" s="1422"/>
      <c r="S16" s="1422"/>
      <c r="T16" s="1423"/>
      <c r="U16" s="1423"/>
      <c r="V16" s="1423"/>
      <c r="W16" s="1423"/>
      <c r="X16" s="1423"/>
      <c r="Y16" s="1423"/>
      <c r="Z16" s="1423"/>
      <c r="AA16" s="1423"/>
      <c r="AB16" s="1423"/>
      <c r="AC16" s="1423"/>
      <c r="AD16" s="1423"/>
      <c r="AE16" s="1423"/>
      <c r="AF16" s="1423"/>
      <c r="AG16" s="1423"/>
      <c r="AH16" s="1423"/>
      <c r="AI16" s="1423"/>
      <c r="AJ16" s="1423"/>
      <c r="AK16" s="127"/>
      <c r="AL16" s="28"/>
      <c r="AM16" s="28"/>
      <c r="AN16" s="61"/>
      <c r="AO16" s="61"/>
      <c r="AP16" s="446"/>
      <c r="AQ16" s="35"/>
      <c r="BC16" s="166"/>
    </row>
    <row r="17" spans="1:58" s="1134" customFormat="1" ht="30" customHeight="1">
      <c r="A17" s="1115"/>
      <c r="B17" s="1116"/>
      <c r="C17" s="1117" t="s">
        <v>116</v>
      </c>
      <c r="D17" s="1424" t="s">
        <v>39</v>
      </c>
      <c r="E17" s="1425"/>
      <c r="F17" s="1425"/>
      <c r="G17" s="1425"/>
      <c r="H17" s="1425"/>
      <c r="I17" s="1426"/>
      <c r="J17" s="1470" t="s">
        <v>105</v>
      </c>
      <c r="K17" s="1471"/>
      <c r="L17" s="1471"/>
      <c r="M17" s="1471"/>
      <c r="N17" s="1471"/>
      <c r="O17" s="1471"/>
      <c r="P17" s="1471"/>
      <c r="Q17" s="1471"/>
      <c r="R17" s="1432" t="s">
        <v>22</v>
      </c>
      <c r="S17" s="1433"/>
      <c r="T17" s="1409" t="s">
        <v>136</v>
      </c>
      <c r="U17" s="1410"/>
      <c r="V17" s="1410"/>
      <c r="W17" s="1410"/>
      <c r="X17" s="1410"/>
      <c r="Y17" s="1411" t="s">
        <v>126</v>
      </c>
      <c r="Z17" s="1412"/>
      <c r="AA17" s="1124"/>
      <c r="AB17" s="1130"/>
      <c r="AC17" s="1414" t="s">
        <v>101</v>
      </c>
      <c r="AD17" s="1414"/>
      <c r="AE17" s="1414"/>
      <c r="AF17" s="1415" t="s">
        <v>23</v>
      </c>
      <c r="AG17" s="1416"/>
      <c r="AH17" s="1119"/>
      <c r="AI17" s="1417" t="s">
        <v>25</v>
      </c>
      <c r="AJ17" s="1418"/>
      <c r="AK17" s="1418"/>
      <c r="AL17" s="1418"/>
      <c r="AM17" s="1418"/>
      <c r="AN17" s="1419"/>
      <c r="AO17" s="1120"/>
      <c r="AP17" s="1121"/>
      <c r="AQ17" s="1133"/>
      <c r="AV17" s="1316" t="s">
        <v>82</v>
      </c>
      <c r="BC17" s="1135"/>
    </row>
    <row r="18" spans="1:58" s="12" customFormat="1">
      <c r="A18" s="799"/>
      <c r="B18" s="124"/>
      <c r="C18" s="507"/>
      <c r="D18" s="86">
        <v>1</v>
      </c>
      <c r="E18" s="38">
        <f t="shared" ref="E18:AO18" si="11">D18+1</f>
        <v>2</v>
      </c>
      <c r="F18" s="574">
        <f t="shared" si="11"/>
        <v>3</v>
      </c>
      <c r="G18" s="38">
        <f t="shared" si="11"/>
        <v>4</v>
      </c>
      <c r="H18" s="38">
        <f t="shared" si="11"/>
        <v>5</v>
      </c>
      <c r="I18" s="38">
        <f t="shared" si="11"/>
        <v>6</v>
      </c>
      <c r="J18" s="86">
        <f t="shared" si="11"/>
        <v>7</v>
      </c>
      <c r="K18" s="117">
        <f t="shared" si="11"/>
        <v>8</v>
      </c>
      <c r="L18" s="38">
        <f t="shared" si="11"/>
        <v>9</v>
      </c>
      <c r="M18" s="38">
        <f t="shared" si="11"/>
        <v>10</v>
      </c>
      <c r="N18" s="38">
        <f t="shared" si="11"/>
        <v>11</v>
      </c>
      <c r="O18" s="38">
        <f t="shared" si="11"/>
        <v>12</v>
      </c>
      <c r="P18" s="38">
        <f t="shared" si="11"/>
        <v>13</v>
      </c>
      <c r="Q18" s="38">
        <f t="shared" si="11"/>
        <v>14</v>
      </c>
      <c r="R18" s="358">
        <f t="shared" si="11"/>
        <v>15</v>
      </c>
      <c r="S18" s="359">
        <f t="shared" si="11"/>
        <v>16</v>
      </c>
      <c r="T18" s="358">
        <f t="shared" si="11"/>
        <v>17</v>
      </c>
      <c r="U18" s="117">
        <f t="shared" si="11"/>
        <v>18</v>
      </c>
      <c r="V18" s="117">
        <f t="shared" si="11"/>
        <v>19</v>
      </c>
      <c r="W18" s="117">
        <f t="shared" si="11"/>
        <v>20</v>
      </c>
      <c r="X18" s="117">
        <f t="shared" si="11"/>
        <v>21</v>
      </c>
      <c r="Y18" s="358">
        <f t="shared" si="11"/>
        <v>22</v>
      </c>
      <c r="Z18" s="359">
        <f t="shared" si="11"/>
        <v>23</v>
      </c>
      <c r="AA18" s="358">
        <f t="shared" si="11"/>
        <v>24</v>
      </c>
      <c r="AB18" s="359">
        <f t="shared" si="11"/>
        <v>25</v>
      </c>
      <c r="AC18" s="117">
        <f t="shared" si="11"/>
        <v>26</v>
      </c>
      <c r="AD18" s="117">
        <f t="shared" si="11"/>
        <v>27</v>
      </c>
      <c r="AE18" s="117">
        <f t="shared" si="11"/>
        <v>28</v>
      </c>
      <c r="AF18" s="358">
        <f t="shared" si="11"/>
        <v>29</v>
      </c>
      <c r="AG18" s="359">
        <f t="shared" si="11"/>
        <v>30</v>
      </c>
      <c r="AH18" s="117">
        <f t="shared" si="11"/>
        <v>31</v>
      </c>
      <c r="AI18" s="364">
        <f>AH18+1</f>
        <v>32</v>
      </c>
      <c r="AJ18" s="38">
        <f>AI18+1</f>
        <v>33</v>
      </c>
      <c r="AK18" s="38">
        <f t="shared" si="11"/>
        <v>34</v>
      </c>
      <c r="AL18" s="38">
        <f t="shared" si="11"/>
        <v>35</v>
      </c>
      <c r="AM18" s="38">
        <f t="shared" ref="AM18" si="12">AL18+1</f>
        <v>36</v>
      </c>
      <c r="AN18" s="359">
        <f>AM18+1</f>
        <v>37</v>
      </c>
      <c r="AO18" s="87">
        <f t="shared" si="11"/>
        <v>38</v>
      </c>
      <c r="AP18" s="446"/>
      <c r="AQ18" s="35"/>
      <c r="BC18" s="166"/>
    </row>
    <row r="19" spans="1:58" s="12" customFormat="1" ht="118" customHeight="1">
      <c r="A19" s="799"/>
      <c r="B19" s="124"/>
      <c r="C19" s="1022" t="s">
        <v>504</v>
      </c>
      <c r="D19" s="1023" t="s">
        <v>809</v>
      </c>
      <c r="E19" s="1024" t="s">
        <v>505</v>
      </c>
      <c r="F19" s="1025" t="s">
        <v>810</v>
      </c>
      <c r="G19" s="1025" t="s">
        <v>811</v>
      </c>
      <c r="H19" s="418" t="s">
        <v>812</v>
      </c>
      <c r="I19" s="820" t="s">
        <v>507</v>
      </c>
      <c r="J19" s="1026" t="s">
        <v>508</v>
      </c>
      <c r="K19" s="1025" t="s">
        <v>813</v>
      </c>
      <c r="L19" s="1025" t="s">
        <v>814</v>
      </c>
      <c r="M19" s="1025" t="s">
        <v>815</v>
      </c>
      <c r="N19" s="1025" t="s">
        <v>511</v>
      </c>
      <c r="O19" s="1025" t="s">
        <v>816</v>
      </c>
      <c r="P19" s="1025" t="s">
        <v>817</v>
      </c>
      <c r="Q19" s="1027" t="s">
        <v>418</v>
      </c>
      <c r="R19" s="488" t="s">
        <v>514</v>
      </c>
      <c r="S19" s="437" t="s">
        <v>448</v>
      </c>
      <c r="T19" s="181" t="s">
        <v>515</v>
      </c>
      <c r="U19" s="172" t="s">
        <v>516</v>
      </c>
      <c r="V19" s="172" t="s">
        <v>517</v>
      </c>
      <c r="W19" s="172" t="s">
        <v>518</v>
      </c>
      <c r="X19" s="172" t="s">
        <v>519</v>
      </c>
      <c r="Y19" s="175" t="s">
        <v>425</v>
      </c>
      <c r="Z19" s="545" t="s">
        <v>520</v>
      </c>
      <c r="AA19" s="819" t="s">
        <v>427</v>
      </c>
      <c r="AB19" s="819" t="s">
        <v>428</v>
      </c>
      <c r="AC19" s="1026" t="s">
        <v>429</v>
      </c>
      <c r="AD19" s="819" t="s">
        <v>521</v>
      </c>
      <c r="AE19" s="819" t="s">
        <v>522</v>
      </c>
      <c r="AF19" s="154" t="s">
        <v>523</v>
      </c>
      <c r="AG19" s="568" t="s">
        <v>524</v>
      </c>
      <c r="AH19" s="1031" t="s">
        <v>525</v>
      </c>
      <c r="AI19" s="1025" t="s">
        <v>346</v>
      </c>
      <c r="AJ19" s="1032" t="s">
        <v>820</v>
      </c>
      <c r="AK19" s="1025" t="s">
        <v>823</v>
      </c>
      <c r="AL19" s="1024" t="s">
        <v>822</v>
      </c>
      <c r="AM19" s="819" t="s">
        <v>824</v>
      </c>
      <c r="AN19" s="820" t="s">
        <v>343</v>
      </c>
      <c r="AO19" s="470" t="s">
        <v>526</v>
      </c>
      <c r="AP19" s="446"/>
      <c r="AQ19" s="1044" t="s">
        <v>527</v>
      </c>
      <c r="AR19" s="418" t="s">
        <v>438</v>
      </c>
      <c r="AS19" s="418" t="s">
        <v>827</v>
      </c>
      <c r="AT19" s="418" t="s">
        <v>826</v>
      </c>
      <c r="AU19" s="861" t="s">
        <v>403</v>
      </c>
      <c r="AV19" s="861" t="s">
        <v>746</v>
      </c>
      <c r="BC19" s="978" t="s">
        <v>779</v>
      </c>
    </row>
    <row r="20" spans="1:58" s="147" customFormat="1">
      <c r="A20" s="795">
        <f>A12+1</f>
        <v>6</v>
      </c>
      <c r="B20" s="771">
        <f>B12+1</f>
        <v>6</v>
      </c>
      <c r="C20" s="278" t="s">
        <v>882</v>
      </c>
      <c r="D20" s="630">
        <v>218</v>
      </c>
      <c r="E20" s="629">
        <f>(2*D20)</f>
        <v>436</v>
      </c>
      <c r="F20" s="877">
        <f>(2*194)</f>
        <v>388</v>
      </c>
      <c r="G20" s="629">
        <f>F20*1.15</f>
        <v>446.2</v>
      </c>
      <c r="H20" s="236">
        <f>(E20*(0.23))</f>
        <v>100.28</v>
      </c>
      <c r="I20" s="235">
        <f>0.5*(H20*1.1)</f>
        <v>55.154000000000003</v>
      </c>
      <c r="J20" s="877" t="s">
        <v>112</v>
      </c>
      <c r="K20" s="877" t="s">
        <v>112</v>
      </c>
      <c r="L20" s="875">
        <v>160</v>
      </c>
      <c r="M20" s="1040">
        <v>15</v>
      </c>
      <c r="N20" s="875">
        <f>183-125</f>
        <v>58</v>
      </c>
      <c r="O20" s="875" t="s">
        <v>40</v>
      </c>
      <c r="P20" s="875" t="s">
        <v>40</v>
      </c>
      <c r="Q20" s="875">
        <f>SUM(J20:P20)</f>
        <v>233</v>
      </c>
      <c r="R20" s="323">
        <f>2*Q20</f>
        <v>466</v>
      </c>
      <c r="S20" s="643">
        <f>R20+(2*71)</f>
        <v>608</v>
      </c>
      <c r="T20" s="625">
        <v>0</v>
      </c>
      <c r="U20" s="608">
        <v>13</v>
      </c>
      <c r="V20" s="608">
        <v>59</v>
      </c>
      <c r="W20" s="928" t="s">
        <v>111</v>
      </c>
      <c r="X20" s="612">
        <f>SUM(T20:W20)</f>
        <v>72</v>
      </c>
      <c r="Y20" s="510">
        <f>2*X20</f>
        <v>144</v>
      </c>
      <c r="Z20" s="511">
        <f>(Y20+(23))</f>
        <v>167</v>
      </c>
      <c r="AA20" s="612">
        <f>Z20-H20</f>
        <v>66.72</v>
      </c>
      <c r="AB20" s="612">
        <f>Z20-I20</f>
        <v>111.846</v>
      </c>
      <c r="AC20" s="229">
        <f>306-199</f>
        <v>107</v>
      </c>
      <c r="AD20" s="612">
        <f>(33.89)+(AC20*0.2095)</f>
        <v>56.3065</v>
      </c>
      <c r="AE20" s="612">
        <f>X20-V20+AD20</f>
        <v>69.3065</v>
      </c>
      <c r="AF20" s="240">
        <f>2*AE20</f>
        <v>138.613</v>
      </c>
      <c r="AG20" s="305">
        <f>AF20+(23)</f>
        <v>161.613</v>
      </c>
      <c r="AH20" s="625">
        <f>AG20-I20</f>
        <v>106.459</v>
      </c>
      <c r="AI20" s="890" t="s">
        <v>884</v>
      </c>
      <c r="AJ20" s="1060">
        <v>74</v>
      </c>
      <c r="AK20" s="1060">
        <f>(2*AJ20)+(2*71)+(2*45)</f>
        <v>380</v>
      </c>
      <c r="AL20" s="1060">
        <f>S20-AK20</f>
        <v>228</v>
      </c>
      <c r="AM20" s="666" t="s">
        <v>113</v>
      </c>
      <c r="AN20" s="235">
        <f>373+(23)</f>
        <v>396</v>
      </c>
      <c r="AO20" s="236">
        <f>Z20-AN20</f>
        <v>-229</v>
      </c>
      <c r="AP20" s="453"/>
      <c r="AQ20" s="286" t="s">
        <v>749</v>
      </c>
      <c r="AR20" s="695">
        <f>H20</f>
        <v>100.28</v>
      </c>
      <c r="AS20" s="695">
        <f>Z20</f>
        <v>167</v>
      </c>
      <c r="AT20" s="695">
        <f>AN20</f>
        <v>396</v>
      </c>
      <c r="AU20" s="696">
        <f>S20-G20</f>
        <v>161.80000000000001</v>
      </c>
      <c r="AV20" s="698">
        <f>AL20</f>
        <v>228</v>
      </c>
      <c r="BB20" s="237"/>
      <c r="BC20" s="965">
        <f>B20</f>
        <v>6</v>
      </c>
      <c r="BD20" s="290"/>
      <c r="BE20" s="148"/>
      <c r="BF20" s="1287">
        <v>1</v>
      </c>
    </row>
    <row r="21" spans="1:58">
      <c r="A21" s="795">
        <f>A20+1</f>
        <v>7</v>
      </c>
      <c r="B21" s="771">
        <f>B20+1</f>
        <v>7</v>
      </c>
      <c r="C21" s="273" t="s">
        <v>12</v>
      </c>
      <c r="D21" s="630">
        <v>234</v>
      </c>
      <c r="E21" s="877">
        <f>2*D21</f>
        <v>468</v>
      </c>
      <c r="F21" s="877">
        <f>2*235</f>
        <v>470</v>
      </c>
      <c r="G21" s="629">
        <f>F21*1.15</f>
        <v>540.5</v>
      </c>
      <c r="H21" s="236">
        <f t="shared" ref="H21:H24" si="13">(E21*(0.23))</f>
        <v>107.64</v>
      </c>
      <c r="I21" s="332">
        <f>0.5*(H21*1.1)</f>
        <v>59.202000000000005</v>
      </c>
      <c r="J21" s="877" t="s">
        <v>112</v>
      </c>
      <c r="K21" s="877" t="s">
        <v>112</v>
      </c>
      <c r="L21" s="875">
        <v>160</v>
      </c>
      <c r="M21" s="1041">
        <v>15</v>
      </c>
      <c r="N21" s="875">
        <f t="shared" ref="N21" si="14">183-125</f>
        <v>58</v>
      </c>
      <c r="O21" s="875" t="s">
        <v>40</v>
      </c>
      <c r="P21" s="875" t="s">
        <v>40</v>
      </c>
      <c r="Q21" s="877">
        <f>SUM(J21:P21)</f>
        <v>233</v>
      </c>
      <c r="R21" s="323">
        <f>2*Q21</f>
        <v>466</v>
      </c>
      <c r="S21" s="643">
        <f>R21+(2*71)</f>
        <v>608</v>
      </c>
      <c r="T21" s="644">
        <v>6.5</v>
      </c>
      <c r="U21" s="608">
        <v>13</v>
      </c>
      <c r="V21" s="608">
        <v>59</v>
      </c>
      <c r="W21" s="928" t="s">
        <v>111</v>
      </c>
      <c r="X21" s="612">
        <f>SUM(T21:W21)</f>
        <v>78.5</v>
      </c>
      <c r="Y21" s="518">
        <f>2*X21</f>
        <v>157</v>
      </c>
      <c r="Z21" s="511">
        <f>(Y21+(23))</f>
        <v>180</v>
      </c>
      <c r="AA21" s="625">
        <f>Z21-H21</f>
        <v>72.36</v>
      </c>
      <c r="AB21" s="618">
        <f>Z21-I21</f>
        <v>120.798</v>
      </c>
      <c r="AC21" s="229">
        <f>294-187</f>
        <v>107</v>
      </c>
      <c r="AD21" s="612">
        <f t="shared" ref="AD21:AD24" si="15">(33.89)+(AC21*0.2095)</f>
        <v>56.3065</v>
      </c>
      <c r="AE21" s="612">
        <f>X21-V21+AD21</f>
        <v>75.8065</v>
      </c>
      <c r="AF21" s="380">
        <f>2*AE21</f>
        <v>151.613</v>
      </c>
      <c r="AG21" s="252">
        <f>AF21+(23)</f>
        <v>174.613</v>
      </c>
      <c r="AH21" s="612">
        <f>AG21-I21</f>
        <v>115.411</v>
      </c>
      <c r="AI21" s="890" t="s">
        <v>884</v>
      </c>
      <c r="AJ21" s="877">
        <v>74</v>
      </c>
      <c r="AK21" s="1060">
        <f>(2*AJ21)+(2*71)+(2*45)</f>
        <v>380</v>
      </c>
      <c r="AL21" s="875">
        <f>S21-AK21</f>
        <v>228</v>
      </c>
      <c r="AM21" s="823">
        <v>15</v>
      </c>
      <c r="AN21" s="235">
        <f>373+(23)+AM21</f>
        <v>411</v>
      </c>
      <c r="AO21" s="235">
        <f>Z21-AN21</f>
        <v>-231</v>
      </c>
      <c r="AQ21" s="273" t="s">
        <v>94</v>
      </c>
      <c r="AR21" s="695">
        <f t="shared" ref="AR21:AR24" si="16">H21</f>
        <v>107.64</v>
      </c>
      <c r="AS21" s="695">
        <f t="shared" ref="AS21:AS24" si="17">Z21</f>
        <v>180</v>
      </c>
      <c r="AT21" s="695">
        <f t="shared" ref="AT21:AT24" si="18">AN21</f>
        <v>411</v>
      </c>
      <c r="AU21" s="696">
        <f t="shared" ref="AU21:AU24" si="19">S21-G21</f>
        <v>67.5</v>
      </c>
      <c r="AV21" s="699">
        <f>AL21</f>
        <v>228</v>
      </c>
      <c r="BC21" s="965">
        <f t="shared" ref="BC21:BC24" si="20">B21</f>
        <v>7</v>
      </c>
      <c r="BF21" s="1287">
        <v>1</v>
      </c>
    </row>
    <row r="22" spans="1:58">
      <c r="A22" s="795">
        <f t="shared" ref="A22:A24" si="21">A21+1</f>
        <v>8</v>
      </c>
      <c r="B22" s="771">
        <f t="shared" ref="B22:B24" si="22">B21+1</f>
        <v>8</v>
      </c>
      <c r="C22" s="273" t="s">
        <v>883</v>
      </c>
      <c r="D22" s="630">
        <v>250</v>
      </c>
      <c r="E22" s="877">
        <f>(2*D22)</f>
        <v>500</v>
      </c>
      <c r="F22" s="877">
        <f>2*198</f>
        <v>396</v>
      </c>
      <c r="G22" s="629">
        <f>F22*1.15</f>
        <v>455.4</v>
      </c>
      <c r="H22" s="236">
        <f>0.23*E22</f>
        <v>115</v>
      </c>
      <c r="I22" s="235">
        <f>(0.5*1.1*H22)</f>
        <v>63.250000000000007</v>
      </c>
      <c r="J22" s="874" t="s">
        <v>113</v>
      </c>
      <c r="K22" s="629" t="s">
        <v>113</v>
      </c>
      <c r="L22" s="875">
        <v>160</v>
      </c>
      <c r="M22" s="629">
        <v>15</v>
      </c>
      <c r="N22" s="629">
        <f>183-102</f>
        <v>81</v>
      </c>
      <c r="O22" s="629" t="s">
        <v>113</v>
      </c>
      <c r="P22" s="629" t="s">
        <v>113</v>
      </c>
      <c r="Q22" s="629">
        <f>SUM(J22:P22)</f>
        <v>256</v>
      </c>
      <c r="R22" s="323">
        <f>2*Q22</f>
        <v>512</v>
      </c>
      <c r="S22" s="659">
        <f>R22+(2*71)</f>
        <v>654</v>
      </c>
      <c r="T22" s="644">
        <v>0</v>
      </c>
      <c r="U22" s="608">
        <v>13</v>
      </c>
      <c r="V22" s="609">
        <v>64</v>
      </c>
      <c r="W22" s="608" t="s">
        <v>112</v>
      </c>
      <c r="X22" s="618">
        <f>SUM(T22:W22)</f>
        <v>77</v>
      </c>
      <c r="Y22" s="512">
        <f>2*X22</f>
        <v>154</v>
      </c>
      <c r="Z22" s="511">
        <f>Y22+(23)</f>
        <v>177</v>
      </c>
      <c r="AA22" s="612">
        <f>Z22-H22</f>
        <v>62</v>
      </c>
      <c r="AB22" s="618">
        <f>Z22-I22</f>
        <v>113.75</v>
      </c>
      <c r="AC22" s="229">
        <v>131</v>
      </c>
      <c r="AD22" s="654">
        <f t="shared" ref="AD22" si="23">33.89+(0.2095*AC22)</f>
        <v>61.334499999999998</v>
      </c>
      <c r="AE22" s="612">
        <f>X22-U22+AD22</f>
        <v>125.33449999999999</v>
      </c>
      <c r="AF22" s="240">
        <f>2*AE22</f>
        <v>250.66899999999998</v>
      </c>
      <c r="AG22" s="252">
        <f>AF22+(23)</f>
        <v>273.66899999999998</v>
      </c>
      <c r="AH22" s="612">
        <f>AG22-I22</f>
        <v>210.41899999999998</v>
      </c>
      <c r="AI22" s="890" t="s">
        <v>884</v>
      </c>
      <c r="AJ22" s="875">
        <v>74</v>
      </c>
      <c r="AK22" s="877">
        <f>(2*AJ22)+(2*71)+(2*45)</f>
        <v>380</v>
      </c>
      <c r="AL22" s="875">
        <f>S22-AK22</f>
        <v>274</v>
      </c>
      <c r="AM22" s="823">
        <v>15</v>
      </c>
      <c r="AN22" s="235">
        <f>373+(23)+AM22</f>
        <v>411</v>
      </c>
      <c r="AO22" s="236">
        <f>Z22-AN22</f>
        <v>-234</v>
      </c>
      <c r="AP22" s="453"/>
      <c r="AQ22" s="273" t="s">
        <v>750</v>
      </c>
      <c r="AR22" s="695">
        <f t="shared" si="16"/>
        <v>115</v>
      </c>
      <c r="AS22" s="695">
        <f t="shared" si="17"/>
        <v>177</v>
      </c>
      <c r="AT22" s="695">
        <f t="shared" si="18"/>
        <v>411</v>
      </c>
      <c r="AU22" s="696">
        <f t="shared" si="19"/>
        <v>198.60000000000002</v>
      </c>
      <c r="AV22" s="699">
        <f>AL22</f>
        <v>274</v>
      </c>
      <c r="BC22" s="965">
        <f t="shared" si="20"/>
        <v>8</v>
      </c>
      <c r="BF22" s="1287">
        <v>1</v>
      </c>
    </row>
    <row r="23" spans="1:58" s="250" customFormat="1" ht="15" customHeight="1">
      <c r="A23" s="795">
        <f t="shared" si="21"/>
        <v>9</v>
      </c>
      <c r="B23" s="771">
        <f t="shared" si="22"/>
        <v>9</v>
      </c>
      <c r="C23" s="273" t="s">
        <v>198</v>
      </c>
      <c r="D23" s="630">
        <v>262</v>
      </c>
      <c r="E23" s="877">
        <f>2*D23</f>
        <v>524</v>
      </c>
      <c r="F23" s="877">
        <f>2*236</f>
        <v>472</v>
      </c>
      <c r="G23" s="629">
        <f>F23*1.15</f>
        <v>542.79999999999995</v>
      </c>
      <c r="H23" s="236">
        <f t="shared" si="13"/>
        <v>120.52000000000001</v>
      </c>
      <c r="I23" s="332">
        <f>0.5*(H23*1.1)</f>
        <v>66.286000000000016</v>
      </c>
      <c r="J23" s="877" t="s">
        <v>112</v>
      </c>
      <c r="K23" s="877" t="s">
        <v>112</v>
      </c>
      <c r="L23" s="875">
        <v>160</v>
      </c>
      <c r="M23" s="1041">
        <v>15</v>
      </c>
      <c r="N23" s="875">
        <f>183-102</f>
        <v>81</v>
      </c>
      <c r="O23" s="875">
        <v>15</v>
      </c>
      <c r="P23" s="875">
        <f>240-200</f>
        <v>40</v>
      </c>
      <c r="Q23" s="877">
        <f>SUM(J23:P23)</f>
        <v>311</v>
      </c>
      <c r="R23" s="323">
        <f>2*Q23</f>
        <v>622</v>
      </c>
      <c r="S23" s="643">
        <f>R23+(2*71)</f>
        <v>764</v>
      </c>
      <c r="T23" s="625">
        <v>0</v>
      </c>
      <c r="U23" s="608">
        <v>13</v>
      </c>
      <c r="V23" s="608">
        <v>64</v>
      </c>
      <c r="W23" s="608">
        <v>1</v>
      </c>
      <c r="X23" s="612">
        <f>SUM(T23:W23)</f>
        <v>78</v>
      </c>
      <c r="Y23" s="518">
        <f>2*X23</f>
        <v>156</v>
      </c>
      <c r="Z23" s="511">
        <f>(Y23+(23))</f>
        <v>179</v>
      </c>
      <c r="AA23" s="625">
        <f>Z23-H23</f>
        <v>58.47999999999999</v>
      </c>
      <c r="AB23" s="618">
        <f>Z23-I23</f>
        <v>112.71399999999998</v>
      </c>
      <c r="AC23" s="549">
        <f>107+33</f>
        <v>140</v>
      </c>
      <c r="AD23" s="612">
        <f t="shared" si="15"/>
        <v>63.22</v>
      </c>
      <c r="AE23" s="612">
        <f>X23-V23+AD23</f>
        <v>77.22</v>
      </c>
      <c r="AF23" s="380">
        <f>2*AE23</f>
        <v>154.44</v>
      </c>
      <c r="AG23" s="252">
        <f>AF23+(23)</f>
        <v>177.44</v>
      </c>
      <c r="AH23" s="612">
        <f>AG23-I23</f>
        <v>111.15399999999998</v>
      </c>
      <c r="AI23" s="890" t="s">
        <v>347</v>
      </c>
      <c r="AJ23" s="877">
        <v>242</v>
      </c>
      <c r="AK23" s="875">
        <f>(2*AJ23)+(2*71)+(2*45)</f>
        <v>716</v>
      </c>
      <c r="AL23" s="875">
        <f>S23-AK23</f>
        <v>48</v>
      </c>
      <c r="AM23" s="823">
        <v>15</v>
      </c>
      <c r="AN23" s="235">
        <f>692+(23)+AM23</f>
        <v>730</v>
      </c>
      <c r="AO23" s="235">
        <f>Z23-AN23</f>
        <v>-551</v>
      </c>
      <c r="AP23" s="450"/>
      <c r="AQ23" s="273" t="s">
        <v>35</v>
      </c>
      <c r="AR23" s="695">
        <f t="shared" si="16"/>
        <v>120.52000000000001</v>
      </c>
      <c r="AS23" s="695">
        <f t="shared" si="17"/>
        <v>179</v>
      </c>
      <c r="AT23" s="695">
        <f t="shared" si="18"/>
        <v>730</v>
      </c>
      <c r="AU23" s="696">
        <f t="shared" si="19"/>
        <v>221.20000000000005</v>
      </c>
      <c r="AV23" s="700">
        <f>AL23</f>
        <v>48</v>
      </c>
      <c r="BC23" s="965">
        <f t="shared" si="20"/>
        <v>9</v>
      </c>
      <c r="BD23" s="811"/>
      <c r="BF23" s="1287">
        <v>1</v>
      </c>
    </row>
    <row r="24" spans="1:58" s="242" customFormat="1">
      <c r="A24" s="795">
        <f t="shared" si="21"/>
        <v>10</v>
      </c>
      <c r="B24" s="771">
        <f t="shared" si="22"/>
        <v>10</v>
      </c>
      <c r="C24" s="273" t="s">
        <v>199</v>
      </c>
      <c r="D24" s="296">
        <v>303</v>
      </c>
      <c r="E24" s="297">
        <v>606</v>
      </c>
      <c r="F24" s="576">
        <v>536</v>
      </c>
      <c r="G24" s="233">
        <f>F24*1.15</f>
        <v>616.4</v>
      </c>
      <c r="H24" s="236">
        <f t="shared" si="13"/>
        <v>139.38</v>
      </c>
      <c r="I24" s="298">
        <v>87</v>
      </c>
      <c r="J24" s="875">
        <v>42</v>
      </c>
      <c r="K24" s="875">
        <v>15</v>
      </c>
      <c r="L24" s="875">
        <v>160</v>
      </c>
      <c r="M24" s="1041">
        <v>15</v>
      </c>
      <c r="N24" s="875">
        <f>183-102</f>
        <v>81</v>
      </c>
      <c r="O24" s="875">
        <v>15</v>
      </c>
      <c r="P24" s="875">
        <f>240-200</f>
        <v>40</v>
      </c>
      <c r="Q24" s="875">
        <f>SUM(J24:P24)</f>
        <v>368</v>
      </c>
      <c r="R24" s="323">
        <f>2*Q24</f>
        <v>736</v>
      </c>
      <c r="S24" s="643">
        <f>R24+(2*71)</f>
        <v>878</v>
      </c>
      <c r="T24" s="644">
        <v>8.75</v>
      </c>
      <c r="U24" s="608">
        <v>13</v>
      </c>
      <c r="V24" s="608">
        <v>64</v>
      </c>
      <c r="W24" s="608">
        <v>1</v>
      </c>
      <c r="X24" s="612">
        <f>SUM(T24:W24)</f>
        <v>86.75</v>
      </c>
      <c r="Y24" s="510">
        <f>2*X24</f>
        <v>173.5</v>
      </c>
      <c r="Z24" s="511">
        <f>(Y24+(23))</f>
        <v>196.5</v>
      </c>
      <c r="AA24" s="612">
        <f>Z24-H24</f>
        <v>57.120000000000005</v>
      </c>
      <c r="AB24" s="618">
        <f>Z24-I24</f>
        <v>109.5</v>
      </c>
      <c r="AC24" s="549">
        <f>107+33</f>
        <v>140</v>
      </c>
      <c r="AD24" s="612">
        <f t="shared" si="15"/>
        <v>63.22</v>
      </c>
      <c r="AE24" s="612">
        <f>X24-V24+AD24</f>
        <v>85.97</v>
      </c>
      <c r="AF24" s="240">
        <f>2*AE24</f>
        <v>171.94</v>
      </c>
      <c r="AG24" s="305">
        <f>AF24+(23)</f>
        <v>194.94</v>
      </c>
      <c r="AH24" s="625">
        <f>AG24-I24</f>
        <v>107.94</v>
      </c>
      <c r="AI24" s="890" t="s">
        <v>884</v>
      </c>
      <c r="AJ24" s="875">
        <v>74</v>
      </c>
      <c r="AK24" s="1060">
        <f>(2*AJ24)+(2*71)+(2*45)</f>
        <v>380</v>
      </c>
      <c r="AL24" s="875">
        <f>S24-AK24</f>
        <v>498</v>
      </c>
      <c r="AM24" s="823">
        <f>15+15</f>
        <v>30</v>
      </c>
      <c r="AN24" s="235">
        <f>373+(23)+AM24</f>
        <v>426</v>
      </c>
      <c r="AO24" s="236">
        <f>Z24-AN24</f>
        <v>-229.5</v>
      </c>
      <c r="AP24" s="453"/>
      <c r="AQ24" s="299" t="s">
        <v>36</v>
      </c>
      <c r="AR24" s="695">
        <f t="shared" si="16"/>
        <v>139.38</v>
      </c>
      <c r="AS24" s="695">
        <f t="shared" si="17"/>
        <v>196.5</v>
      </c>
      <c r="AT24" s="695">
        <f t="shared" si="18"/>
        <v>426</v>
      </c>
      <c r="AU24" s="696">
        <f t="shared" si="19"/>
        <v>261.60000000000002</v>
      </c>
      <c r="AV24" s="701">
        <f>AL24</f>
        <v>498</v>
      </c>
      <c r="BB24" s="228"/>
      <c r="BC24" s="965">
        <f t="shared" si="20"/>
        <v>10</v>
      </c>
      <c r="BD24" s="294"/>
      <c r="BE24" s="238"/>
      <c r="BF24" s="1287">
        <v>1</v>
      </c>
    </row>
    <row r="25" spans="1:58" s="12" customFormat="1" ht="331" customHeight="1">
      <c r="A25" s="799"/>
      <c r="B25" s="124"/>
      <c r="C25" s="1022" t="s">
        <v>833</v>
      </c>
      <c r="D25" s="1427" t="s">
        <v>849</v>
      </c>
      <c r="E25" s="1399"/>
      <c r="F25" s="1013" t="s">
        <v>850</v>
      </c>
      <c r="G25" s="1045" t="s">
        <v>851</v>
      </c>
      <c r="H25" s="1046" t="s">
        <v>190</v>
      </c>
      <c r="I25" s="1000"/>
      <c r="J25" s="1042" t="s">
        <v>41</v>
      </c>
      <c r="K25" s="1043" t="s">
        <v>828</v>
      </c>
      <c r="L25" s="1042" t="s">
        <v>151</v>
      </c>
      <c r="M25" s="1044" t="s">
        <v>829</v>
      </c>
      <c r="N25" s="1044" t="s">
        <v>830</v>
      </c>
      <c r="O25" s="1019"/>
      <c r="P25" s="1019"/>
      <c r="Q25" s="1019"/>
      <c r="R25" s="333"/>
      <c r="S25" s="1038" t="s">
        <v>1159</v>
      </c>
      <c r="T25" s="1039" t="s">
        <v>818</v>
      </c>
      <c r="U25" s="1035" t="s">
        <v>848</v>
      </c>
      <c r="V25" s="866" t="s">
        <v>130</v>
      </c>
      <c r="W25" s="56"/>
      <c r="X25" s="40"/>
      <c r="Y25" s="96"/>
      <c r="Z25" s="1230" t="s">
        <v>1148</v>
      </c>
      <c r="AA25" s="1035"/>
      <c r="AB25" s="1036" t="s">
        <v>831</v>
      </c>
      <c r="AC25" s="589" t="s">
        <v>847</v>
      </c>
      <c r="AD25" s="1036" t="s">
        <v>832</v>
      </c>
      <c r="AE25" s="868"/>
      <c r="AF25" s="1037"/>
      <c r="AG25" s="1230" t="s">
        <v>1148</v>
      </c>
      <c r="AH25" s="362"/>
      <c r="AI25" s="1011" t="s">
        <v>819</v>
      </c>
      <c r="AJ25" s="658" t="s">
        <v>853</v>
      </c>
      <c r="AK25" s="999"/>
      <c r="AL25" s="36"/>
      <c r="AM25" s="36"/>
      <c r="AN25" s="1008" t="s">
        <v>852</v>
      </c>
      <c r="AO25" s="998"/>
      <c r="AP25" s="446"/>
      <c r="AQ25" s="1059" t="s">
        <v>825</v>
      </c>
      <c r="BC25" s="166"/>
    </row>
    <row r="26" spans="1:58" s="12" customFormat="1">
      <c r="A26" s="799"/>
      <c r="B26" s="124"/>
      <c r="C26" s="10"/>
      <c r="D26" s="318"/>
      <c r="E26" s="318"/>
      <c r="F26" s="577"/>
      <c r="G26" s="318"/>
      <c r="H26" s="1002"/>
      <c r="I26" s="1003"/>
      <c r="J26" s="1003"/>
      <c r="K26" s="1003"/>
      <c r="L26" s="1003"/>
      <c r="M26" s="1003"/>
      <c r="N26" s="1003"/>
      <c r="O26" s="1003"/>
      <c r="P26" s="1003"/>
      <c r="Q26" s="1003"/>
      <c r="R26" s="126"/>
      <c r="S26" s="1003"/>
      <c r="T26" s="1003"/>
      <c r="U26" s="1003"/>
      <c r="V26" s="1003"/>
      <c r="W26" s="1003"/>
      <c r="X26" s="1003"/>
      <c r="Y26" s="28"/>
      <c r="Z26" s="28"/>
      <c r="AA26" s="28"/>
      <c r="AB26" s="144"/>
      <c r="AC26" s="1003"/>
      <c r="AD26" s="1003"/>
      <c r="AE26" s="1003"/>
      <c r="AF26" s="28"/>
      <c r="AG26" s="28"/>
      <c r="AH26" s="137"/>
      <c r="AI26" s="137"/>
      <c r="AJ26" s="60"/>
      <c r="AK26" s="127"/>
      <c r="AL26" s="28"/>
      <c r="AM26" s="28"/>
      <c r="AN26" s="1006"/>
      <c r="AO26" s="1006"/>
      <c r="AP26" s="1015"/>
      <c r="AQ26" s="35"/>
      <c r="AV26" s="508" t="s">
        <v>82</v>
      </c>
      <c r="BC26" s="166"/>
    </row>
    <row r="27" spans="1:58" s="12" customFormat="1">
      <c r="A27" s="799"/>
      <c r="B27" s="124"/>
      <c r="C27" s="10"/>
      <c r="D27" s="318"/>
      <c r="E27" s="318"/>
      <c r="F27" s="577"/>
      <c r="G27" s="318"/>
      <c r="H27" s="139"/>
      <c r="I27" s="693"/>
      <c r="J27" s="693"/>
      <c r="K27" s="788"/>
      <c r="L27" s="693"/>
      <c r="M27" s="693"/>
      <c r="N27" s="693"/>
      <c r="O27" s="693"/>
      <c r="P27" s="693"/>
      <c r="Q27" s="693"/>
      <c r="R27" s="126"/>
      <c r="S27" s="693"/>
      <c r="T27" s="693"/>
      <c r="U27" s="693"/>
      <c r="V27" s="693"/>
      <c r="W27" s="693"/>
      <c r="X27" s="693"/>
      <c r="Y27" s="28"/>
      <c r="Z27" s="28"/>
      <c r="AA27" s="28"/>
      <c r="AB27" s="144"/>
      <c r="AC27" s="693"/>
      <c r="AD27" s="693"/>
      <c r="AE27" s="693"/>
      <c r="AF27" s="28"/>
      <c r="AG27" s="28"/>
      <c r="AH27" s="137"/>
      <c r="AI27" s="137"/>
      <c r="AJ27" s="60"/>
      <c r="AK27" s="127"/>
      <c r="AL27" s="28"/>
      <c r="AM27" s="28"/>
      <c r="AN27" s="61"/>
      <c r="AO27" s="61"/>
      <c r="AP27" s="446"/>
      <c r="AQ27" s="35"/>
      <c r="BC27" s="166"/>
    </row>
    <row r="28" spans="1:58" s="12" customFormat="1">
      <c r="A28" s="799"/>
      <c r="B28" s="337" t="s">
        <v>31</v>
      </c>
      <c r="C28" s="1421" t="s">
        <v>503</v>
      </c>
      <c r="D28" s="1422"/>
      <c r="E28" s="1422"/>
      <c r="F28" s="1422"/>
      <c r="G28" s="1422"/>
      <c r="H28" s="1422"/>
      <c r="I28" s="1422"/>
      <c r="J28" s="1422"/>
      <c r="K28" s="1422"/>
      <c r="L28" s="1422"/>
      <c r="M28" s="1422"/>
      <c r="N28" s="1422"/>
      <c r="O28" s="1422"/>
      <c r="P28" s="1422"/>
      <c r="Q28" s="1422"/>
      <c r="R28" s="1422"/>
      <c r="S28" s="1422"/>
      <c r="T28" s="1423"/>
      <c r="U28" s="1423"/>
      <c r="V28" s="1423"/>
      <c r="W28" s="1423"/>
      <c r="X28" s="1423"/>
      <c r="Y28" s="1423"/>
      <c r="Z28" s="1423"/>
      <c r="AA28" s="1423"/>
      <c r="AB28" s="1423"/>
      <c r="AC28" s="1423"/>
      <c r="AD28" s="1423"/>
      <c r="AE28" s="1423"/>
      <c r="AF28" s="1423"/>
      <c r="AG28" s="1423"/>
      <c r="AH28" s="1423"/>
      <c r="AI28" s="1423"/>
      <c r="AJ28" s="1423"/>
      <c r="AK28" s="127"/>
      <c r="AL28" s="28"/>
      <c r="AM28" s="28"/>
      <c r="AN28" s="61"/>
      <c r="AO28" s="61"/>
      <c r="AP28" s="446"/>
      <c r="AQ28" s="35"/>
      <c r="BC28" s="166"/>
    </row>
    <row r="29" spans="1:58" s="1134" customFormat="1" ht="44">
      <c r="A29" s="1115"/>
      <c r="B29" s="1116"/>
      <c r="C29" s="1117" t="s">
        <v>116</v>
      </c>
      <c r="D29" s="1424" t="s">
        <v>39</v>
      </c>
      <c r="E29" s="1425"/>
      <c r="F29" s="1425"/>
      <c r="G29" s="1425"/>
      <c r="H29" s="1425"/>
      <c r="I29" s="1426"/>
      <c r="J29" s="1470" t="s">
        <v>105</v>
      </c>
      <c r="K29" s="1471"/>
      <c r="L29" s="1471"/>
      <c r="M29" s="1471"/>
      <c r="N29" s="1471"/>
      <c r="O29" s="1471"/>
      <c r="P29" s="1471"/>
      <c r="Q29" s="1471"/>
      <c r="R29" s="1432" t="s">
        <v>22</v>
      </c>
      <c r="S29" s="1433"/>
      <c r="T29" s="1409" t="s">
        <v>136</v>
      </c>
      <c r="U29" s="1410"/>
      <c r="V29" s="1410"/>
      <c r="W29" s="1410"/>
      <c r="X29" s="1410"/>
      <c r="Y29" s="1411" t="s">
        <v>126</v>
      </c>
      <c r="Z29" s="1412"/>
      <c r="AA29" s="1124"/>
      <c r="AB29" s="1130"/>
      <c r="AC29" s="1414" t="s">
        <v>101</v>
      </c>
      <c r="AD29" s="1414"/>
      <c r="AE29" s="1414"/>
      <c r="AF29" s="1415" t="s">
        <v>23</v>
      </c>
      <c r="AG29" s="1416"/>
      <c r="AH29" s="1119"/>
      <c r="AI29" s="1417" t="s">
        <v>25</v>
      </c>
      <c r="AJ29" s="1418"/>
      <c r="AK29" s="1418"/>
      <c r="AL29" s="1418"/>
      <c r="AM29" s="1418"/>
      <c r="AN29" s="1419"/>
      <c r="AO29" s="1132"/>
      <c r="AP29" s="1121"/>
      <c r="AQ29" s="1133"/>
      <c r="AV29" s="1316" t="s">
        <v>82</v>
      </c>
      <c r="BC29" s="1135"/>
    </row>
    <row r="30" spans="1:58" s="12" customFormat="1">
      <c r="A30" s="799"/>
      <c r="B30" s="124"/>
      <c r="C30" s="507"/>
      <c r="D30" s="86">
        <v>1</v>
      </c>
      <c r="E30" s="38">
        <f t="shared" ref="E30" si="24">D30+1</f>
        <v>2</v>
      </c>
      <c r="F30" s="574">
        <f t="shared" ref="F30" si="25">E30+1</f>
        <v>3</v>
      </c>
      <c r="G30" s="38">
        <f t="shared" ref="G30" si="26">F30+1</f>
        <v>4</v>
      </c>
      <c r="H30" s="38">
        <f t="shared" ref="H30" si="27">G30+1</f>
        <v>5</v>
      </c>
      <c r="I30" s="38">
        <f t="shared" ref="I30" si="28">H30+1</f>
        <v>6</v>
      </c>
      <c r="J30" s="86">
        <f t="shared" ref="J30" si="29">I30+1</f>
        <v>7</v>
      </c>
      <c r="K30" s="117">
        <f t="shared" ref="K30" si="30">J30+1</f>
        <v>8</v>
      </c>
      <c r="L30" s="38">
        <f t="shared" ref="L30" si="31">K30+1</f>
        <v>9</v>
      </c>
      <c r="M30" s="38">
        <f t="shared" ref="M30" si="32">L30+1</f>
        <v>10</v>
      </c>
      <c r="N30" s="38">
        <f t="shared" ref="N30" si="33">M30+1</f>
        <v>11</v>
      </c>
      <c r="O30" s="38">
        <f t="shared" ref="O30" si="34">N30+1</f>
        <v>12</v>
      </c>
      <c r="P30" s="38">
        <f t="shared" ref="P30" si="35">O30+1</f>
        <v>13</v>
      </c>
      <c r="Q30" s="38">
        <f t="shared" ref="Q30" si="36">P30+1</f>
        <v>14</v>
      </c>
      <c r="R30" s="117">
        <f t="shared" ref="R30" si="37">Q30+1</f>
        <v>15</v>
      </c>
      <c r="S30" s="117">
        <f t="shared" ref="S30" si="38">R30+1</f>
        <v>16</v>
      </c>
      <c r="T30" s="86">
        <f t="shared" ref="T30" si="39">S30+1</f>
        <v>17</v>
      </c>
      <c r="U30" s="38">
        <f t="shared" ref="U30" si="40">T30+1</f>
        <v>18</v>
      </c>
      <c r="V30" s="38">
        <f t="shared" ref="V30" si="41">U30+1</f>
        <v>19</v>
      </c>
      <c r="W30" s="117">
        <f t="shared" ref="W30" si="42">V30+1</f>
        <v>20</v>
      </c>
      <c r="X30" s="38">
        <f t="shared" ref="X30" si="43">W30+1</f>
        <v>21</v>
      </c>
      <c r="Y30" s="358">
        <f t="shared" ref="Y30" si="44">X30+1</f>
        <v>22</v>
      </c>
      <c r="Z30" s="359">
        <f t="shared" ref="Z30" si="45">Y30+1</f>
        <v>23</v>
      </c>
      <c r="AA30" s="86">
        <f t="shared" ref="AA30" si="46">Z30+1</f>
        <v>24</v>
      </c>
      <c r="AB30" s="87">
        <f t="shared" ref="AB30" si="47">AA30+1</f>
        <v>25</v>
      </c>
      <c r="AC30" s="117">
        <f t="shared" ref="AC30" si="48">AB30+1</f>
        <v>26</v>
      </c>
      <c r="AD30" s="117">
        <f t="shared" ref="AD30" si="49">AC30+1</f>
        <v>27</v>
      </c>
      <c r="AE30" s="117">
        <f t="shared" ref="AE30" si="50">AD30+1</f>
        <v>28</v>
      </c>
      <c r="AF30" s="358">
        <f t="shared" ref="AF30" si="51">AE30+1</f>
        <v>29</v>
      </c>
      <c r="AG30" s="359">
        <f t="shared" ref="AG30" si="52">AF30+1</f>
        <v>30</v>
      </c>
      <c r="AH30" s="117">
        <f t="shared" ref="AH30" si="53">AG30+1</f>
        <v>31</v>
      </c>
      <c r="AI30" s="364">
        <f>AH30+1</f>
        <v>32</v>
      </c>
      <c r="AJ30" s="38">
        <f>AI30+1</f>
        <v>33</v>
      </c>
      <c r="AK30" s="38">
        <f t="shared" ref="AK30" si="54">AJ30+1</f>
        <v>34</v>
      </c>
      <c r="AL30" s="38">
        <f t="shared" ref="AL30" si="55">AK30+1</f>
        <v>35</v>
      </c>
      <c r="AM30" s="38">
        <f t="shared" ref="AM30" si="56">AL30+1</f>
        <v>36</v>
      </c>
      <c r="AN30" s="359">
        <f>AM30+1</f>
        <v>37</v>
      </c>
      <c r="AO30" s="359">
        <f>AN30+1</f>
        <v>38</v>
      </c>
      <c r="AP30" s="446"/>
      <c r="AQ30" s="35"/>
      <c r="BC30" s="166"/>
    </row>
    <row r="31" spans="1:58" s="12" customFormat="1" ht="143">
      <c r="A31" s="799"/>
      <c r="B31" s="124"/>
      <c r="C31" s="1022" t="s">
        <v>834</v>
      </c>
      <c r="D31" s="1023" t="s">
        <v>809</v>
      </c>
      <c r="E31" s="1024" t="s">
        <v>505</v>
      </c>
      <c r="F31" s="1025" t="s">
        <v>810</v>
      </c>
      <c r="G31" s="1025" t="s">
        <v>811</v>
      </c>
      <c r="H31" s="418" t="s">
        <v>812</v>
      </c>
      <c r="I31" s="820" t="s">
        <v>507</v>
      </c>
      <c r="J31" s="1026" t="s">
        <v>508</v>
      </c>
      <c r="K31" s="1025" t="s">
        <v>813</v>
      </c>
      <c r="L31" s="1025" t="s">
        <v>814</v>
      </c>
      <c r="M31" s="1025" t="s">
        <v>815</v>
      </c>
      <c r="N31" s="1025" t="s">
        <v>838</v>
      </c>
      <c r="O31" s="1025" t="s">
        <v>839</v>
      </c>
      <c r="P31" s="1025" t="s">
        <v>840</v>
      </c>
      <c r="Q31" s="1027" t="s">
        <v>418</v>
      </c>
      <c r="R31" s="1028" t="s">
        <v>514</v>
      </c>
      <c r="S31" s="1029" t="s">
        <v>448</v>
      </c>
      <c r="T31" s="1030" t="s">
        <v>515</v>
      </c>
      <c r="U31" s="819" t="s">
        <v>516</v>
      </c>
      <c r="V31" s="819" t="s">
        <v>517</v>
      </c>
      <c r="W31" s="819" t="s">
        <v>518</v>
      </c>
      <c r="X31" s="819" t="s">
        <v>519</v>
      </c>
      <c r="Y31" s="175" t="s">
        <v>425</v>
      </c>
      <c r="Z31" s="545" t="s">
        <v>520</v>
      </c>
      <c r="AA31" s="819" t="s">
        <v>427</v>
      </c>
      <c r="AB31" s="819" t="s">
        <v>428</v>
      </c>
      <c r="AC31" s="1026" t="s">
        <v>429</v>
      </c>
      <c r="AD31" s="819" t="s">
        <v>521</v>
      </c>
      <c r="AE31" s="819" t="s">
        <v>522</v>
      </c>
      <c r="AF31" s="154" t="s">
        <v>523</v>
      </c>
      <c r="AG31" s="568" t="s">
        <v>524</v>
      </c>
      <c r="AH31" s="1031" t="s">
        <v>525</v>
      </c>
      <c r="AI31" s="1025" t="s">
        <v>346</v>
      </c>
      <c r="AJ31" s="1032" t="s">
        <v>820</v>
      </c>
      <c r="AK31" s="1025" t="s">
        <v>823</v>
      </c>
      <c r="AL31" s="1024" t="s">
        <v>822</v>
      </c>
      <c r="AM31" s="819" t="s">
        <v>824</v>
      </c>
      <c r="AN31" s="820" t="s">
        <v>343</v>
      </c>
      <c r="AO31" s="470" t="s">
        <v>526</v>
      </c>
      <c r="AP31" s="446"/>
      <c r="AQ31" s="414" t="s">
        <v>530</v>
      </c>
      <c r="AR31" s="418" t="s">
        <v>438</v>
      </c>
      <c r="AS31" s="418" t="s">
        <v>531</v>
      </c>
      <c r="AT31" s="361" t="s">
        <v>440</v>
      </c>
      <c r="AU31" s="861" t="s">
        <v>403</v>
      </c>
      <c r="AV31" s="861" t="s">
        <v>746</v>
      </c>
      <c r="BC31" s="978" t="s">
        <v>779</v>
      </c>
    </row>
    <row r="32" spans="1:58" s="728" customFormat="1" ht="15" customHeight="1">
      <c r="A32" s="799">
        <f>A24+1</f>
        <v>11</v>
      </c>
      <c r="B32" s="769">
        <f>B24+1</f>
        <v>11</v>
      </c>
      <c r="C32" s="862" t="s">
        <v>887</v>
      </c>
      <c r="D32" s="709">
        <v>288</v>
      </c>
      <c r="E32" s="710">
        <f>2*D32</f>
        <v>576</v>
      </c>
      <c r="F32" s="710">
        <f>2*267</f>
        <v>534</v>
      </c>
      <c r="G32" s="711">
        <f>F32*1.15</f>
        <v>614.09999999999991</v>
      </c>
      <c r="H32" s="712">
        <f>E32*0.23</f>
        <v>132.48000000000002</v>
      </c>
      <c r="I32" s="713">
        <f>0.5*H32*1.1</f>
        <v>72.864000000000019</v>
      </c>
      <c r="J32" s="307" t="s">
        <v>111</v>
      </c>
      <c r="K32" s="302" t="s">
        <v>111</v>
      </c>
      <c r="L32" s="714">
        <v>132</v>
      </c>
      <c r="M32" s="714">
        <v>15</v>
      </c>
      <c r="N32" s="714">
        <f>183-102</f>
        <v>81</v>
      </c>
      <c r="O32" s="714">
        <v>15</v>
      </c>
      <c r="P32" s="302">
        <f>240-155</f>
        <v>85</v>
      </c>
      <c r="Q32" s="715">
        <f>SUM(J32:P32)</f>
        <v>328</v>
      </c>
      <c r="R32" s="716">
        <f>2*Q32</f>
        <v>656</v>
      </c>
      <c r="S32" s="717">
        <f>R32+(2*71)</f>
        <v>798</v>
      </c>
      <c r="T32" s="718">
        <v>0</v>
      </c>
      <c r="U32" s="718">
        <v>13</v>
      </c>
      <c r="V32" s="718">
        <v>64</v>
      </c>
      <c r="W32" s="718">
        <v>1</v>
      </c>
      <c r="X32" s="738">
        <f>SUM(T32:W32)</f>
        <v>78</v>
      </c>
      <c r="Y32" s="719">
        <f t="shared" ref="Y32:Y36" si="57">X32*2</f>
        <v>156</v>
      </c>
      <c r="Z32" s="720">
        <f t="shared" ref="Z32:Z36" si="58">Y32+23</f>
        <v>179</v>
      </c>
      <c r="AA32" s="721">
        <f>Z32-H32</f>
        <v>46.519999999999982</v>
      </c>
      <c r="AB32" s="722">
        <f>Z32-I32</f>
        <v>106.13599999999998</v>
      </c>
      <c r="AC32" s="716">
        <v>316</v>
      </c>
      <c r="AD32" s="612">
        <f t="shared" ref="AD32:AD36" si="59">(33.89)+(AC32*0.2095)</f>
        <v>100.092</v>
      </c>
      <c r="AE32" s="612">
        <f>X32-V32+AD32</f>
        <v>114.092</v>
      </c>
      <c r="AF32" s="251">
        <f>2*AE32</f>
        <v>228.184</v>
      </c>
      <c r="AG32" s="305">
        <f>AF32+(23)</f>
        <v>251.184</v>
      </c>
      <c r="AH32" s="626">
        <f>AG32-I32</f>
        <v>178.32</v>
      </c>
      <c r="AI32" s="1268" t="s">
        <v>347</v>
      </c>
      <c r="AJ32" s="716">
        <v>263</v>
      </c>
      <c r="AK32" s="714">
        <f t="shared" ref="AK32:AK36" si="60">(2*AJ32)+(2*71)+(2*45)</f>
        <v>758</v>
      </c>
      <c r="AL32" s="875">
        <f>S32-AK32</f>
        <v>40</v>
      </c>
      <c r="AM32" s="612">
        <v>30</v>
      </c>
      <c r="AN32" s="723">
        <f>181+23+AM32</f>
        <v>234</v>
      </c>
      <c r="AO32" s="724">
        <f>Z32-AN32</f>
        <v>-55</v>
      </c>
      <c r="AP32" s="725"/>
      <c r="AQ32" s="862" t="s">
        <v>285</v>
      </c>
      <c r="AR32" s="238">
        <f>H32</f>
        <v>132.48000000000002</v>
      </c>
      <c r="AS32" s="238">
        <f>Z32</f>
        <v>179</v>
      </c>
      <c r="AT32" s="238">
        <f>AN32</f>
        <v>234</v>
      </c>
      <c r="AU32" s="726">
        <f>S32-G32</f>
        <v>183.90000000000009</v>
      </c>
      <c r="AV32" s="727">
        <f>S32-AK32</f>
        <v>40</v>
      </c>
      <c r="BC32" s="963">
        <f>B32</f>
        <v>11</v>
      </c>
      <c r="BD32" s="729"/>
      <c r="BF32" s="1287">
        <v>1</v>
      </c>
    </row>
    <row r="33" spans="1:58" s="728" customFormat="1" ht="15" customHeight="1">
      <c r="A33" s="799">
        <f>A32+1</f>
        <v>12</v>
      </c>
      <c r="B33" s="769">
        <f>B32+1</f>
        <v>12</v>
      </c>
      <c r="C33" s="863" t="s">
        <v>881</v>
      </c>
      <c r="D33" s="709">
        <v>275</v>
      </c>
      <c r="E33" s="710">
        <f>2*D33</f>
        <v>550</v>
      </c>
      <c r="F33" s="710">
        <f>2*234</f>
        <v>468</v>
      </c>
      <c r="G33" s="711">
        <f>F33*1.15</f>
        <v>538.19999999999993</v>
      </c>
      <c r="H33" s="712">
        <f>E33*0.23</f>
        <v>126.5</v>
      </c>
      <c r="I33" s="713">
        <f>0.5*H33*1.1</f>
        <v>69.575000000000003</v>
      </c>
      <c r="J33" s="307" t="s">
        <v>111</v>
      </c>
      <c r="K33" s="302" t="s">
        <v>111</v>
      </c>
      <c r="L33" s="714">
        <v>160</v>
      </c>
      <c r="M33" s="714">
        <v>15</v>
      </c>
      <c r="N33" s="714">
        <f>183-102</f>
        <v>81</v>
      </c>
      <c r="O33" s="714">
        <v>15</v>
      </c>
      <c r="P33" s="302">
        <f>240-200</f>
        <v>40</v>
      </c>
      <c r="Q33" s="715">
        <f t="shared" ref="Q33:Q36" si="61">SUM(J33:P33)</f>
        <v>311</v>
      </c>
      <c r="R33" s="716">
        <f t="shared" ref="R33:R36" si="62">2*Q33</f>
        <v>622</v>
      </c>
      <c r="S33" s="717">
        <f t="shared" ref="S33:S36" si="63">R33+(2*71)</f>
        <v>764</v>
      </c>
      <c r="T33" s="718">
        <v>0</v>
      </c>
      <c r="U33" s="718">
        <v>13</v>
      </c>
      <c r="V33" s="718">
        <v>64</v>
      </c>
      <c r="W33" s="718">
        <v>1</v>
      </c>
      <c r="X33" s="738">
        <f>SUM(T33:W33)</f>
        <v>78</v>
      </c>
      <c r="Y33" s="719">
        <f t="shared" si="57"/>
        <v>156</v>
      </c>
      <c r="Z33" s="720">
        <f t="shared" si="58"/>
        <v>179</v>
      </c>
      <c r="AA33" s="721">
        <f>Z33-H33</f>
        <v>52.5</v>
      </c>
      <c r="AB33" s="722">
        <f>Z33-I33</f>
        <v>109.425</v>
      </c>
      <c r="AC33" s="716">
        <v>322</v>
      </c>
      <c r="AD33" s="612">
        <f t="shared" si="59"/>
        <v>101.349</v>
      </c>
      <c r="AE33" s="612">
        <f>X33-V33+AD33</f>
        <v>115.349</v>
      </c>
      <c r="AF33" s="251">
        <f t="shared" ref="AF33:AF36" si="64">2*AE33</f>
        <v>230.69800000000001</v>
      </c>
      <c r="AG33" s="305">
        <f t="shared" ref="AG33:AG36" si="65">AF33+(23)</f>
        <v>253.69800000000001</v>
      </c>
      <c r="AH33" s="626">
        <f t="shared" ref="AH33:AH36" si="66">AG33-I33</f>
        <v>184.12299999999999</v>
      </c>
      <c r="AI33" s="890" t="s">
        <v>1144</v>
      </c>
      <c r="AJ33" s="714">
        <v>74</v>
      </c>
      <c r="AK33" s="714">
        <f t="shared" si="60"/>
        <v>380</v>
      </c>
      <c r="AL33" s="875">
        <f t="shared" ref="AL33:AL36" si="67">S33-AK33</f>
        <v>384</v>
      </c>
      <c r="AM33" s="612">
        <v>15</v>
      </c>
      <c r="AN33" s="730">
        <f>373+23+AM33</f>
        <v>411</v>
      </c>
      <c r="AO33" s="724">
        <f t="shared" ref="AO33:AO36" si="68">Z33-AN33</f>
        <v>-232</v>
      </c>
      <c r="AP33" s="725"/>
      <c r="AQ33" s="863" t="s">
        <v>751</v>
      </c>
      <c r="AR33" s="238">
        <f t="shared" ref="AR33:AR36" si="69">H33</f>
        <v>126.5</v>
      </c>
      <c r="AS33" s="238">
        <f t="shared" ref="AS33:AS36" si="70">Z33</f>
        <v>179</v>
      </c>
      <c r="AT33" s="238">
        <f t="shared" ref="AT33:AT36" si="71">AN33</f>
        <v>411</v>
      </c>
      <c r="AU33" s="726">
        <f t="shared" ref="AU33:AU36" si="72">S33-G33</f>
        <v>225.80000000000007</v>
      </c>
      <c r="AV33" s="727">
        <f t="shared" ref="AV33:AV36" si="73">S33-AK33</f>
        <v>384</v>
      </c>
      <c r="BC33" s="963">
        <f t="shared" ref="BC33:BC36" si="74">B33</f>
        <v>12</v>
      </c>
      <c r="BD33" s="729"/>
      <c r="BF33" s="1287">
        <v>1</v>
      </c>
    </row>
    <row r="34" spans="1:58" s="728" customFormat="1" ht="15" customHeight="1">
      <c r="A34" s="799">
        <f t="shared" ref="A34:A36" si="75">A33+1</f>
        <v>13</v>
      </c>
      <c r="B34" s="769">
        <f t="shared" ref="B34:B36" si="76">B33+1</f>
        <v>13</v>
      </c>
      <c r="C34" s="862" t="s">
        <v>286</v>
      </c>
      <c r="D34" s="709">
        <v>358</v>
      </c>
      <c r="E34" s="710">
        <f>2*D34</f>
        <v>716</v>
      </c>
      <c r="F34" s="710">
        <f>2*389</f>
        <v>778</v>
      </c>
      <c r="G34" s="711">
        <f>F34*1.15</f>
        <v>894.69999999999993</v>
      </c>
      <c r="H34" s="712">
        <f>E34*0.23</f>
        <v>164.68</v>
      </c>
      <c r="I34" s="713">
        <f>0.5*H34*1.1</f>
        <v>90.574000000000012</v>
      </c>
      <c r="J34" s="307">
        <v>39</v>
      </c>
      <c r="K34" s="302">
        <v>15</v>
      </c>
      <c r="L34" s="714">
        <v>160</v>
      </c>
      <c r="M34" s="714">
        <v>15</v>
      </c>
      <c r="N34" s="714">
        <f>183-102</f>
        <v>81</v>
      </c>
      <c r="O34" s="714">
        <v>15</v>
      </c>
      <c r="P34" s="302">
        <f>240-120</f>
        <v>120</v>
      </c>
      <c r="Q34" s="715">
        <f t="shared" si="61"/>
        <v>445</v>
      </c>
      <c r="R34" s="716">
        <f>2*Q34</f>
        <v>890</v>
      </c>
      <c r="S34" s="717">
        <f>R34+(2*71)</f>
        <v>1032</v>
      </c>
      <c r="T34" s="718">
        <v>8.75</v>
      </c>
      <c r="U34" s="718">
        <v>13</v>
      </c>
      <c r="V34" s="718">
        <v>64</v>
      </c>
      <c r="W34" s="718">
        <v>1</v>
      </c>
      <c r="X34" s="738">
        <f>SUM(T34:W34)</f>
        <v>86.75</v>
      </c>
      <c r="Y34" s="719">
        <f>X34*2</f>
        <v>173.5</v>
      </c>
      <c r="Z34" s="720">
        <f>Y34+23</f>
        <v>196.5</v>
      </c>
      <c r="AA34" s="721">
        <f>Z34-H34</f>
        <v>31.819999999999993</v>
      </c>
      <c r="AB34" s="722">
        <f>Z34-I34</f>
        <v>105.92599999999999</v>
      </c>
      <c r="AC34" s="716">
        <v>349</v>
      </c>
      <c r="AD34" s="612">
        <f>(33.89)+(AC34*0.2095)</f>
        <v>107.0055</v>
      </c>
      <c r="AE34" s="612">
        <f>X34-V34+AD34</f>
        <v>129.75549999999998</v>
      </c>
      <c r="AF34" s="251">
        <f>2*AE34</f>
        <v>259.51099999999997</v>
      </c>
      <c r="AG34" s="305">
        <f>AF34+(23)</f>
        <v>282.51099999999997</v>
      </c>
      <c r="AH34" s="626">
        <f>AG34-I34</f>
        <v>191.93699999999995</v>
      </c>
      <c r="AI34" s="890" t="s">
        <v>1145</v>
      </c>
      <c r="AJ34" s="714">
        <v>96</v>
      </c>
      <c r="AK34" s="714">
        <f>(2*AJ34)+(2*71)+(2*45)</f>
        <v>424</v>
      </c>
      <c r="AL34" s="875">
        <f>S34-AK34</f>
        <v>608</v>
      </c>
      <c r="AM34" s="612">
        <f>15+31</f>
        <v>46</v>
      </c>
      <c r="AN34" s="730">
        <f>154+23+AM34</f>
        <v>223</v>
      </c>
      <c r="AO34" s="724">
        <f>Z34-AN34</f>
        <v>-26.5</v>
      </c>
      <c r="AP34" s="725"/>
      <c r="AQ34" s="862" t="s">
        <v>287</v>
      </c>
      <c r="AR34" s="238">
        <f>H34</f>
        <v>164.68</v>
      </c>
      <c r="AS34" s="238">
        <f>Z34</f>
        <v>196.5</v>
      </c>
      <c r="AT34" s="238">
        <f>AN34</f>
        <v>223</v>
      </c>
      <c r="AU34" s="726">
        <f>S34-G34</f>
        <v>137.30000000000007</v>
      </c>
      <c r="AV34" s="727">
        <f>S34-AK34</f>
        <v>608</v>
      </c>
      <c r="BC34" s="963">
        <f t="shared" si="74"/>
        <v>13</v>
      </c>
      <c r="BD34" s="729"/>
      <c r="BF34" s="1287">
        <v>1</v>
      </c>
    </row>
    <row r="35" spans="1:58" s="728" customFormat="1" ht="15" customHeight="1">
      <c r="A35" s="799">
        <f t="shared" si="75"/>
        <v>14</v>
      </c>
      <c r="B35" s="769">
        <f t="shared" si="76"/>
        <v>14</v>
      </c>
      <c r="C35" s="863" t="s">
        <v>888</v>
      </c>
      <c r="D35" s="709">
        <v>339</v>
      </c>
      <c r="E35" s="710">
        <f>2*D35</f>
        <v>678</v>
      </c>
      <c r="F35" s="710">
        <f>2*276</f>
        <v>552</v>
      </c>
      <c r="G35" s="711">
        <f>F35*1.15</f>
        <v>634.79999999999995</v>
      </c>
      <c r="H35" s="712">
        <f>E35*0.23</f>
        <v>155.94</v>
      </c>
      <c r="I35" s="713">
        <f>0.5*H35*1.1</f>
        <v>85.76700000000001</v>
      </c>
      <c r="J35" s="307" t="s">
        <v>111</v>
      </c>
      <c r="K35" s="302" t="s">
        <v>111</v>
      </c>
      <c r="L35" s="714">
        <v>160</v>
      </c>
      <c r="M35" s="714">
        <v>15</v>
      </c>
      <c r="N35" s="714">
        <f>183-102</f>
        <v>81</v>
      </c>
      <c r="O35" s="714">
        <v>15</v>
      </c>
      <c r="P35" s="302">
        <f>240-60</f>
        <v>180</v>
      </c>
      <c r="Q35" s="715">
        <f t="shared" si="61"/>
        <v>451</v>
      </c>
      <c r="R35" s="1017">
        <f>2*Q35</f>
        <v>902</v>
      </c>
      <c r="S35" s="1018">
        <f>R35+(2*71)</f>
        <v>1044</v>
      </c>
      <c r="T35" s="718">
        <v>0</v>
      </c>
      <c r="U35" s="718">
        <v>13</v>
      </c>
      <c r="V35" s="718">
        <v>64</v>
      </c>
      <c r="W35" s="718">
        <v>1</v>
      </c>
      <c r="X35" s="738">
        <f>SUM(T35:W35)</f>
        <v>78</v>
      </c>
      <c r="Y35" s="719">
        <f>X35*2</f>
        <v>156</v>
      </c>
      <c r="Z35" s="720">
        <f>Y35+23</f>
        <v>179</v>
      </c>
      <c r="AA35" s="721">
        <f>Z35-H35</f>
        <v>23.060000000000002</v>
      </c>
      <c r="AB35" s="722">
        <f>Z35-I35</f>
        <v>93.23299999999999</v>
      </c>
      <c r="AC35" s="716">
        <v>322</v>
      </c>
      <c r="AD35" s="612">
        <f>(33.89)+(AC35*0.2095)</f>
        <v>101.349</v>
      </c>
      <c r="AE35" s="612">
        <f>X35-V35+AD35</f>
        <v>115.349</v>
      </c>
      <c r="AF35" s="251">
        <f>2*AE35</f>
        <v>230.69800000000001</v>
      </c>
      <c r="AG35" s="305">
        <f>AF35+(23)</f>
        <v>253.69800000000001</v>
      </c>
      <c r="AH35" s="626">
        <f>AG35-I35</f>
        <v>167.93099999999998</v>
      </c>
      <c r="AI35" s="890" t="s">
        <v>1145</v>
      </c>
      <c r="AJ35" s="714">
        <v>96</v>
      </c>
      <c r="AK35" s="714">
        <f>(2*AJ35)+(2*71)+(2*45)</f>
        <v>424</v>
      </c>
      <c r="AL35" s="875">
        <f>S35-AK35</f>
        <v>620</v>
      </c>
      <c r="AM35" s="612">
        <v>15</v>
      </c>
      <c r="AN35" s="730">
        <f>154+23+AM35</f>
        <v>192</v>
      </c>
      <c r="AO35" s="724">
        <f>Z35-AN35</f>
        <v>-13</v>
      </c>
      <c r="AP35" s="725"/>
      <c r="AQ35" s="863" t="s">
        <v>845</v>
      </c>
      <c r="AR35" s="238">
        <f>H35</f>
        <v>155.94</v>
      </c>
      <c r="AS35" s="238">
        <f>Z35</f>
        <v>179</v>
      </c>
      <c r="AT35" s="238">
        <f>AN35</f>
        <v>192</v>
      </c>
      <c r="AU35" s="726">
        <f>S35-G35</f>
        <v>409.20000000000005</v>
      </c>
      <c r="AV35" s="727">
        <f>S35-AK35</f>
        <v>620</v>
      </c>
      <c r="BC35" s="963">
        <f t="shared" si="74"/>
        <v>14</v>
      </c>
      <c r="BD35" s="729"/>
      <c r="BF35" s="1287">
        <v>1</v>
      </c>
    </row>
    <row r="36" spans="1:58" s="728" customFormat="1" ht="15" customHeight="1">
      <c r="A36" s="799">
        <f t="shared" si="75"/>
        <v>15</v>
      </c>
      <c r="B36" s="769">
        <f t="shared" si="76"/>
        <v>15</v>
      </c>
      <c r="C36" s="864" t="s">
        <v>288</v>
      </c>
      <c r="D36" s="709">
        <v>397</v>
      </c>
      <c r="E36" s="710">
        <f>2*D36</f>
        <v>794</v>
      </c>
      <c r="F36" s="710">
        <f>2*368</f>
        <v>736</v>
      </c>
      <c r="G36" s="711">
        <f t="shared" ref="G36" si="77">F36*1.15</f>
        <v>846.4</v>
      </c>
      <c r="H36" s="712">
        <f t="shared" ref="H36" si="78">E36*0.23</f>
        <v>182.62</v>
      </c>
      <c r="I36" s="713">
        <f t="shared" ref="I36" si="79">0.5*H36*1.1</f>
        <v>100.44100000000002</v>
      </c>
      <c r="J36" s="307">
        <v>39</v>
      </c>
      <c r="K36" s="302">
        <v>15</v>
      </c>
      <c r="L36" s="714">
        <v>160</v>
      </c>
      <c r="M36" s="714">
        <v>15</v>
      </c>
      <c r="N36" s="714">
        <f>183-102</f>
        <v>81</v>
      </c>
      <c r="O36" s="714">
        <v>15</v>
      </c>
      <c r="P36" s="302">
        <f>240-10</f>
        <v>230</v>
      </c>
      <c r="Q36" s="715">
        <f t="shared" si="61"/>
        <v>555</v>
      </c>
      <c r="R36" s="1017">
        <f t="shared" si="62"/>
        <v>1110</v>
      </c>
      <c r="S36" s="1018">
        <f t="shared" si="63"/>
        <v>1252</v>
      </c>
      <c r="T36" s="718">
        <v>6.5</v>
      </c>
      <c r="U36" s="718">
        <v>13</v>
      </c>
      <c r="V36" s="718">
        <v>64</v>
      </c>
      <c r="W36" s="718">
        <v>1</v>
      </c>
      <c r="X36" s="738">
        <f>SUM(T36:W36)</f>
        <v>84.5</v>
      </c>
      <c r="Y36" s="719">
        <f t="shared" si="57"/>
        <v>169</v>
      </c>
      <c r="Z36" s="720">
        <f t="shared" si="58"/>
        <v>192</v>
      </c>
      <c r="AA36" s="721">
        <f>Z36-H36</f>
        <v>9.3799999999999955</v>
      </c>
      <c r="AB36" s="722">
        <f>Z36-I36</f>
        <v>91.558999999999983</v>
      </c>
      <c r="AC36" s="716">
        <v>337</v>
      </c>
      <c r="AD36" s="612">
        <f t="shared" si="59"/>
        <v>104.4915</v>
      </c>
      <c r="AE36" s="612">
        <f>X36-V36+AD36</f>
        <v>124.9915</v>
      </c>
      <c r="AF36" s="251">
        <f t="shared" si="64"/>
        <v>249.983</v>
      </c>
      <c r="AG36" s="305">
        <f t="shared" si="65"/>
        <v>272.983</v>
      </c>
      <c r="AH36" s="626">
        <f t="shared" si="66"/>
        <v>172.54199999999997</v>
      </c>
      <c r="AI36" s="890" t="s">
        <v>1145</v>
      </c>
      <c r="AJ36" s="714">
        <v>96</v>
      </c>
      <c r="AK36" s="714">
        <f t="shared" si="60"/>
        <v>424</v>
      </c>
      <c r="AL36" s="875">
        <f t="shared" si="67"/>
        <v>828</v>
      </c>
      <c r="AM36" s="612">
        <f>15+15</f>
        <v>30</v>
      </c>
      <c r="AN36" s="730">
        <f>154+23+AM36</f>
        <v>207</v>
      </c>
      <c r="AO36" s="724">
        <f t="shared" si="68"/>
        <v>-15</v>
      </c>
      <c r="AP36" s="725"/>
      <c r="AQ36" s="864" t="s">
        <v>289</v>
      </c>
      <c r="AR36" s="238">
        <f t="shared" si="69"/>
        <v>182.62</v>
      </c>
      <c r="AS36" s="238">
        <f t="shared" si="70"/>
        <v>192</v>
      </c>
      <c r="AT36" s="238">
        <f t="shared" si="71"/>
        <v>207</v>
      </c>
      <c r="AU36" s="726">
        <f t="shared" si="72"/>
        <v>405.6</v>
      </c>
      <c r="AV36" s="727">
        <f t="shared" si="73"/>
        <v>828</v>
      </c>
      <c r="BC36" s="963">
        <f t="shared" si="74"/>
        <v>15</v>
      </c>
      <c r="BD36" s="729"/>
      <c r="BF36" s="1287">
        <v>1</v>
      </c>
    </row>
    <row r="37" spans="1:58" s="12" customFormat="1" ht="90" customHeight="1">
      <c r="A37" s="799"/>
      <c r="B37" s="124"/>
      <c r="C37" s="1496" t="s">
        <v>846</v>
      </c>
      <c r="D37" s="1498" t="s">
        <v>835</v>
      </c>
      <c r="E37" s="1499"/>
      <c r="F37" s="1500" t="s">
        <v>855</v>
      </c>
      <c r="G37" s="1477" t="s">
        <v>836</v>
      </c>
      <c r="H37" s="1016" t="s">
        <v>290</v>
      </c>
      <c r="I37" s="1502"/>
      <c r="J37" s="349"/>
      <c r="L37" s="1487" t="s">
        <v>837</v>
      </c>
      <c r="M37" s="1488" t="s">
        <v>841</v>
      </c>
      <c r="N37" s="1487" t="s">
        <v>196</v>
      </c>
      <c r="O37" s="1481" t="s">
        <v>294</v>
      </c>
      <c r="P37" s="1428" t="s">
        <v>294</v>
      </c>
      <c r="Q37" s="127"/>
      <c r="R37" s="731"/>
      <c r="S37" s="1479" t="s">
        <v>1160</v>
      </c>
      <c r="T37" s="1019" t="s">
        <v>43</v>
      </c>
      <c r="U37" s="1489" t="s">
        <v>842</v>
      </c>
      <c r="V37" s="1480" t="s">
        <v>291</v>
      </c>
      <c r="W37" s="1481" t="s">
        <v>843</v>
      </c>
      <c r="X37" s="127"/>
      <c r="Y37" s="214"/>
      <c r="Z37" s="1483" t="s">
        <v>1149</v>
      </c>
      <c r="AA37" s="1020"/>
      <c r="AB37" s="1462" t="s">
        <v>965</v>
      </c>
      <c r="AC37" s="1481" t="s">
        <v>844</v>
      </c>
      <c r="AD37" s="1021" t="s">
        <v>292</v>
      </c>
      <c r="AE37" s="127"/>
      <c r="AF37" s="214"/>
      <c r="AG37" s="1483" t="s">
        <v>1149</v>
      </c>
      <c r="AH37" s="732"/>
      <c r="AI37" s="1430" t="s">
        <v>819</v>
      </c>
      <c r="AJ37" s="1491" t="s">
        <v>1152</v>
      </c>
      <c r="AK37" s="1493"/>
      <c r="AL37" s="733" t="s">
        <v>293</v>
      </c>
      <c r="AM37" s="733"/>
      <c r="AN37" s="1495" t="s">
        <v>401</v>
      </c>
      <c r="AO37" s="734"/>
      <c r="AP37" s="446"/>
      <c r="AQ37" s="1485" t="s">
        <v>1151</v>
      </c>
      <c r="AR37" s="735"/>
      <c r="AS37" s="735"/>
      <c r="AT37" s="735"/>
      <c r="AU37" s="735"/>
      <c r="AV37" s="736"/>
      <c r="BC37" s="166"/>
      <c r="BD37" s="35"/>
    </row>
    <row r="38" spans="1:58" s="12" customFormat="1">
      <c r="A38" s="799"/>
      <c r="B38" s="124"/>
      <c r="C38" s="1497"/>
      <c r="D38" s="1498"/>
      <c r="E38" s="1499"/>
      <c r="F38" s="1501"/>
      <c r="G38" s="1478"/>
      <c r="H38" s="139"/>
      <c r="I38" s="1503"/>
      <c r="J38" s="349"/>
      <c r="L38" s="1365"/>
      <c r="M38" s="1385"/>
      <c r="N38" s="1365"/>
      <c r="O38" s="1482"/>
      <c r="P38" s="1429"/>
      <c r="Q38" s="841"/>
      <c r="R38" s="737"/>
      <c r="S38" s="1479"/>
      <c r="T38" s="841"/>
      <c r="U38" s="1490"/>
      <c r="V38" s="1385"/>
      <c r="W38" s="1482"/>
      <c r="X38" s="841"/>
      <c r="Y38" s="214"/>
      <c r="Z38" s="1484"/>
      <c r="AA38" s="1020"/>
      <c r="AB38" s="1463"/>
      <c r="AC38" s="1445"/>
      <c r="AD38" s="841"/>
      <c r="AE38" s="693"/>
      <c r="AF38" s="214"/>
      <c r="AG38" s="1484"/>
      <c r="AH38" s="732"/>
      <c r="AI38" s="1431"/>
      <c r="AJ38" s="1492"/>
      <c r="AK38" s="1494"/>
      <c r="AL38" s="28"/>
      <c r="AM38" s="28"/>
      <c r="AN38" s="1399"/>
      <c r="AO38" s="61"/>
      <c r="AP38" s="446"/>
      <c r="AQ38" s="1486"/>
      <c r="AR38" s="735"/>
      <c r="AS38" s="735"/>
      <c r="AT38" s="735"/>
      <c r="AU38" s="735"/>
      <c r="AV38" s="736"/>
      <c r="BC38" s="166"/>
      <c r="BD38" s="35"/>
    </row>
    <row r="39" spans="1:58" s="12" customFormat="1">
      <c r="A39" s="799"/>
      <c r="B39" s="124"/>
      <c r="C39" s="1497"/>
      <c r="D39" s="1498"/>
      <c r="E39" s="1499"/>
      <c r="F39" s="1501"/>
      <c r="G39" s="1478"/>
      <c r="H39" s="139"/>
      <c r="I39" s="1503"/>
      <c r="J39" s="349"/>
      <c r="L39" s="1365"/>
      <c r="M39" s="1385"/>
      <c r="N39" s="1365"/>
      <c r="O39" s="1482"/>
      <c r="P39" s="1429"/>
      <c r="Q39" s="841"/>
      <c r="R39" s="737"/>
      <c r="S39" s="1479"/>
      <c r="T39" s="841"/>
      <c r="U39" s="1490"/>
      <c r="V39" s="1385"/>
      <c r="W39" s="1482"/>
      <c r="X39" s="841"/>
      <c r="Y39" s="214"/>
      <c r="Z39" s="1484"/>
      <c r="AA39" s="1020"/>
      <c r="AB39" s="1463"/>
      <c r="AC39" s="1445"/>
      <c r="AD39" s="841"/>
      <c r="AE39" s="693"/>
      <c r="AF39" s="214"/>
      <c r="AG39" s="1484"/>
      <c r="AH39" s="732"/>
      <c r="AI39" s="1431"/>
      <c r="AJ39" s="1492"/>
      <c r="AK39" s="1494"/>
      <c r="AL39" s="28"/>
      <c r="AM39" s="28"/>
      <c r="AN39" s="1399"/>
      <c r="AO39" s="61"/>
      <c r="AP39" s="446"/>
      <c r="AQ39" s="1486"/>
      <c r="AR39" s="735"/>
      <c r="AS39" s="735"/>
      <c r="AT39" s="735"/>
      <c r="AU39" s="735"/>
      <c r="AV39" s="736"/>
      <c r="BC39" s="166"/>
      <c r="BD39" s="35"/>
    </row>
    <row r="40" spans="1:58" s="12" customFormat="1">
      <c r="A40" s="799"/>
      <c r="B40" s="124"/>
      <c r="C40" s="1497"/>
      <c r="D40" s="1498"/>
      <c r="E40" s="1499"/>
      <c r="F40" s="1501"/>
      <c r="G40" s="1478"/>
      <c r="H40" s="139"/>
      <c r="I40" s="1503"/>
      <c r="J40" s="349"/>
      <c r="L40" s="1365"/>
      <c r="M40" s="1385"/>
      <c r="N40" s="1365"/>
      <c r="O40" s="1482"/>
      <c r="P40" s="1429"/>
      <c r="Q40" s="841"/>
      <c r="R40" s="737"/>
      <c r="S40" s="1479"/>
      <c r="T40" s="841"/>
      <c r="U40" s="1490"/>
      <c r="V40" s="1385"/>
      <c r="W40" s="1482"/>
      <c r="X40" s="841"/>
      <c r="Y40" s="214"/>
      <c r="Z40" s="1484"/>
      <c r="AA40" s="1020"/>
      <c r="AB40" s="1463"/>
      <c r="AC40" s="1445"/>
      <c r="AD40" s="841"/>
      <c r="AE40" s="693"/>
      <c r="AF40" s="214"/>
      <c r="AG40" s="1484"/>
      <c r="AH40" s="732"/>
      <c r="AI40" s="1431"/>
      <c r="AJ40" s="1492"/>
      <c r="AK40" s="1494"/>
      <c r="AL40" s="28"/>
      <c r="AM40" s="28"/>
      <c r="AN40" s="1399"/>
      <c r="AO40" s="61"/>
      <c r="AP40" s="446"/>
      <c r="AQ40" s="1486"/>
      <c r="AR40" s="735"/>
      <c r="AS40" s="735"/>
      <c r="AT40" s="735"/>
      <c r="AU40" s="735"/>
      <c r="AV40" s="736" t="s">
        <v>82</v>
      </c>
      <c r="BC40" s="166"/>
      <c r="BD40" s="35"/>
    </row>
    <row r="41" spans="1:58" s="12" customFormat="1">
      <c r="A41" s="799"/>
      <c r="B41" s="124"/>
      <c r="C41" s="1497"/>
      <c r="D41" s="1498"/>
      <c r="E41" s="1499"/>
      <c r="F41" s="1501"/>
      <c r="G41" s="1478"/>
      <c r="H41" s="139"/>
      <c r="I41" s="1503"/>
      <c r="J41" s="349"/>
      <c r="L41" s="1365"/>
      <c r="M41" s="1385"/>
      <c r="N41" s="1365"/>
      <c r="O41" s="1482"/>
      <c r="P41" s="1429"/>
      <c r="Q41" s="841"/>
      <c r="R41" s="737"/>
      <c r="S41" s="1479"/>
      <c r="T41" s="841"/>
      <c r="U41" s="1490"/>
      <c r="V41" s="1385"/>
      <c r="W41" s="1482"/>
      <c r="X41" s="841"/>
      <c r="Y41" s="214"/>
      <c r="Z41" s="1484"/>
      <c r="AA41" s="1020"/>
      <c r="AB41" s="1463"/>
      <c r="AC41" s="1445"/>
      <c r="AD41" s="841"/>
      <c r="AE41" s="693"/>
      <c r="AF41" s="214"/>
      <c r="AG41" s="1484"/>
      <c r="AH41" s="732"/>
      <c r="AI41" s="1431"/>
      <c r="AJ41" s="1492"/>
      <c r="AK41" s="1494"/>
      <c r="AL41" s="28"/>
      <c r="AM41" s="28"/>
      <c r="AN41" s="61"/>
      <c r="AO41" s="61">
        <v>0</v>
      </c>
      <c r="AP41" s="446"/>
      <c r="AQ41" s="1486"/>
      <c r="AR41" s="735"/>
      <c r="AS41" s="735"/>
      <c r="AT41" s="735"/>
      <c r="AU41" s="735"/>
      <c r="AV41" s="736"/>
      <c r="BC41" s="166"/>
      <c r="BD41" s="35"/>
    </row>
    <row r="42" spans="1:58" s="12" customFormat="1">
      <c r="A42" s="799"/>
      <c r="B42" s="124"/>
      <c r="C42" s="1497"/>
      <c r="D42" s="1498"/>
      <c r="E42" s="1499"/>
      <c r="F42" s="1501"/>
      <c r="G42" s="1478"/>
      <c r="H42" s="139"/>
      <c r="I42" s="1503"/>
      <c r="J42" s="349"/>
      <c r="L42" s="1365"/>
      <c r="M42" s="1385"/>
      <c r="N42" s="1365"/>
      <c r="O42" s="1482"/>
      <c r="P42" s="1429"/>
      <c r="Q42" s="841"/>
      <c r="R42" s="737"/>
      <c r="S42" s="1479"/>
      <c r="T42" s="841"/>
      <c r="U42" s="1490"/>
      <c r="V42" s="1385"/>
      <c r="W42" s="1482"/>
      <c r="X42" s="841"/>
      <c r="Y42" s="214"/>
      <c r="Z42" s="1484"/>
      <c r="AA42" s="1020"/>
      <c r="AB42" s="1463"/>
      <c r="AC42" s="1445"/>
      <c r="AD42" s="841"/>
      <c r="AE42" s="693"/>
      <c r="AF42" s="214"/>
      <c r="AG42" s="1484"/>
      <c r="AH42" s="732"/>
      <c r="AI42" s="829"/>
      <c r="AJ42" s="1492"/>
      <c r="AK42" s="1494"/>
      <c r="AL42" s="28"/>
      <c r="AM42" s="28"/>
      <c r="AN42" s="61"/>
      <c r="AO42" s="61"/>
      <c r="AP42" s="446"/>
      <c r="AQ42" s="1486"/>
      <c r="AR42" s="735"/>
      <c r="AS42" s="735"/>
      <c r="AT42" s="735"/>
      <c r="AU42" s="735"/>
      <c r="AV42" s="736"/>
      <c r="BC42" s="166"/>
      <c r="BD42" s="35"/>
    </row>
    <row r="43" spans="1:58" s="12" customFormat="1">
      <c r="A43" s="799"/>
      <c r="B43" s="124"/>
      <c r="C43" s="1497"/>
      <c r="D43" s="1498"/>
      <c r="E43" s="1499"/>
      <c r="F43" s="1501"/>
      <c r="G43" s="1478"/>
      <c r="H43" s="139"/>
      <c r="I43" s="1503"/>
      <c r="J43" s="349"/>
      <c r="L43" s="1365"/>
      <c r="M43" s="1385"/>
      <c r="N43" s="1365"/>
      <c r="O43" s="1482"/>
      <c r="P43" s="1429"/>
      <c r="Q43" s="841"/>
      <c r="R43" s="737"/>
      <c r="S43" s="1479"/>
      <c r="T43" s="841"/>
      <c r="U43" s="1490"/>
      <c r="V43" s="1385"/>
      <c r="W43" s="1482"/>
      <c r="X43" s="841"/>
      <c r="Y43" s="214"/>
      <c r="Z43" s="1484"/>
      <c r="AA43" s="1020"/>
      <c r="AB43" s="1463"/>
      <c r="AC43" s="1445"/>
      <c r="AD43" s="841"/>
      <c r="AE43" s="693"/>
      <c r="AF43" s="214"/>
      <c r="AG43" s="1484"/>
      <c r="AH43" s="732"/>
      <c r="AI43" s="829"/>
      <c r="AJ43" s="1492"/>
      <c r="AK43" s="1494"/>
      <c r="AL43" s="28"/>
      <c r="AM43" s="28"/>
      <c r="AN43" s="61"/>
      <c r="AO43" s="61"/>
      <c r="AP43" s="446"/>
      <c r="AQ43" s="1486"/>
      <c r="AR43" s="735"/>
      <c r="AS43" s="735"/>
      <c r="AT43" s="735"/>
      <c r="AU43" s="735"/>
      <c r="AV43" s="736"/>
      <c r="BC43" s="166"/>
      <c r="BD43" s="35"/>
    </row>
    <row r="44" spans="1:58" s="12" customFormat="1">
      <c r="A44" s="799"/>
      <c r="B44" s="124"/>
      <c r="C44" s="1497"/>
      <c r="D44" s="1498"/>
      <c r="E44" s="1499"/>
      <c r="F44" s="1501"/>
      <c r="G44" s="1478"/>
      <c r="H44" s="139"/>
      <c r="I44" s="1503"/>
      <c r="J44" s="349"/>
      <c r="L44" s="1365"/>
      <c r="M44" s="1385"/>
      <c r="N44" s="1365"/>
      <c r="O44" s="1482"/>
      <c r="P44" s="1429"/>
      <c r="Q44" s="841"/>
      <c r="R44" s="737"/>
      <c r="S44" s="1479"/>
      <c r="T44" s="841"/>
      <c r="U44" s="1490"/>
      <c r="V44" s="1385"/>
      <c r="W44" s="1482"/>
      <c r="X44" s="841"/>
      <c r="Y44" s="214"/>
      <c r="Z44" s="1484"/>
      <c r="AA44" s="1020"/>
      <c r="AB44" s="1463"/>
      <c r="AC44" s="1445"/>
      <c r="AD44" s="841"/>
      <c r="AE44" s="693"/>
      <c r="AF44" s="214"/>
      <c r="AG44" s="1484"/>
      <c r="AH44" s="732"/>
      <c r="AI44" s="829"/>
      <c r="AJ44" s="1492"/>
      <c r="AK44" s="1494"/>
      <c r="AL44" s="28"/>
      <c r="AM44" s="28"/>
      <c r="AN44" s="61"/>
      <c r="AO44" s="61"/>
      <c r="AP44" s="446"/>
      <c r="AQ44" s="1486"/>
      <c r="AR44" s="735"/>
      <c r="AS44" s="735"/>
      <c r="AT44" s="735"/>
      <c r="AU44" s="735"/>
      <c r="AV44" s="736"/>
      <c r="BC44" s="166"/>
      <c r="BD44" s="35"/>
    </row>
    <row r="45" spans="1:58" s="12" customFormat="1">
      <c r="A45" s="799"/>
      <c r="B45" s="124"/>
      <c r="C45" s="1497"/>
      <c r="D45" s="1498"/>
      <c r="E45" s="1499"/>
      <c r="F45" s="1501"/>
      <c r="G45" s="1478"/>
      <c r="H45" s="139"/>
      <c r="I45" s="1503"/>
      <c r="J45" s="349"/>
      <c r="L45" s="1365"/>
      <c r="M45" s="1385"/>
      <c r="N45" s="1365"/>
      <c r="O45" s="1482"/>
      <c r="P45" s="1429"/>
      <c r="Q45" s="841"/>
      <c r="R45" s="737"/>
      <c r="S45" s="1479"/>
      <c r="T45" s="841"/>
      <c r="U45" s="1490"/>
      <c r="V45" s="1385"/>
      <c r="W45" s="1482"/>
      <c r="X45" s="841"/>
      <c r="Y45" s="214"/>
      <c r="Z45" s="1484"/>
      <c r="AA45" s="1020"/>
      <c r="AB45" s="1463"/>
      <c r="AC45" s="1445"/>
      <c r="AD45" s="841"/>
      <c r="AE45" s="693"/>
      <c r="AF45" s="214"/>
      <c r="AG45" s="1484"/>
      <c r="AH45" s="732"/>
      <c r="AI45" s="829"/>
      <c r="AJ45" s="1492"/>
      <c r="AK45" s="1494"/>
      <c r="AL45" s="28"/>
      <c r="AM45" s="28"/>
      <c r="AN45" s="61"/>
      <c r="AO45" s="61"/>
      <c r="AP45" s="446"/>
      <c r="AQ45" s="1486"/>
      <c r="AR45" s="735"/>
      <c r="AS45" s="735"/>
      <c r="AT45" s="735"/>
      <c r="AU45" s="735"/>
      <c r="AV45" s="736"/>
      <c r="BC45" s="166"/>
      <c r="BD45" s="35"/>
    </row>
    <row r="46" spans="1:58" s="12" customFormat="1">
      <c r="A46" s="799"/>
      <c r="B46" s="124"/>
      <c r="C46" s="1497"/>
      <c r="D46" s="1498"/>
      <c r="E46" s="1499"/>
      <c r="F46" s="1501"/>
      <c r="G46" s="1478"/>
      <c r="H46" s="139"/>
      <c r="I46" s="1503"/>
      <c r="J46" s="349"/>
      <c r="L46" s="1365"/>
      <c r="M46" s="1385"/>
      <c r="N46" s="1365"/>
      <c r="O46" s="1482"/>
      <c r="P46" s="1429"/>
      <c r="Q46" s="841"/>
      <c r="R46" s="737"/>
      <c r="S46" s="1479"/>
      <c r="T46" s="841"/>
      <c r="U46" s="1490"/>
      <c r="V46" s="1385"/>
      <c r="W46" s="1482"/>
      <c r="X46" s="841"/>
      <c r="Y46" s="214"/>
      <c r="Z46" s="1484"/>
      <c r="AA46" s="1020"/>
      <c r="AB46" s="1463"/>
      <c r="AC46" s="1445"/>
      <c r="AD46" s="841"/>
      <c r="AE46" s="693"/>
      <c r="AF46" s="214"/>
      <c r="AG46" s="1484"/>
      <c r="AH46" s="732"/>
      <c r="AI46" s="829"/>
      <c r="AJ46" s="1492"/>
      <c r="AK46" s="1494"/>
      <c r="AL46" s="28"/>
      <c r="AM46" s="28"/>
      <c r="AN46" s="61"/>
      <c r="AO46" s="61"/>
      <c r="AP46" s="446"/>
      <c r="AQ46" s="1486"/>
      <c r="AR46" s="735"/>
      <c r="AS46" s="735"/>
      <c r="AT46" s="735"/>
      <c r="AU46" s="735"/>
      <c r="AV46" s="736"/>
      <c r="BC46" s="166"/>
      <c r="BD46" s="35"/>
    </row>
    <row r="47" spans="1:58" s="12" customFormat="1" ht="90" customHeight="1">
      <c r="A47" s="799"/>
      <c r="B47" s="124"/>
      <c r="C47" s="1497"/>
      <c r="D47" s="1498"/>
      <c r="E47" s="1499"/>
      <c r="F47" s="1501"/>
      <c r="G47" s="1478"/>
      <c r="H47" s="139"/>
      <c r="I47" s="1503"/>
      <c r="J47" s="349"/>
      <c r="L47" s="1365"/>
      <c r="M47" s="1385"/>
      <c r="N47" s="1365"/>
      <c r="O47" s="1482"/>
      <c r="P47" s="1429"/>
      <c r="Q47" s="841"/>
      <c r="R47" s="737"/>
      <c r="S47" s="1479"/>
      <c r="T47" s="841"/>
      <c r="U47" s="1490"/>
      <c r="V47" s="1385"/>
      <c r="W47" s="1482"/>
      <c r="X47" s="841"/>
      <c r="Y47" s="214"/>
      <c r="Z47" s="1484"/>
      <c r="AA47" s="1020"/>
      <c r="AB47" s="1463"/>
      <c r="AC47" s="1445"/>
      <c r="AD47" s="841"/>
      <c r="AE47" s="693"/>
      <c r="AF47" s="214"/>
      <c r="AG47" s="1484"/>
      <c r="AH47" s="732"/>
      <c r="AI47" s="829"/>
      <c r="AJ47" s="1492"/>
      <c r="AK47" s="1494"/>
      <c r="AL47" s="28"/>
      <c r="AM47" s="28"/>
      <c r="AN47" s="61"/>
      <c r="AO47" s="61"/>
      <c r="AP47" s="446"/>
      <c r="AQ47" s="1486"/>
      <c r="AR47" s="735"/>
      <c r="AS47" s="735"/>
      <c r="AT47" s="735"/>
      <c r="AU47" s="735"/>
      <c r="AV47" s="736"/>
      <c r="BC47" s="166"/>
      <c r="BD47" s="35"/>
    </row>
    <row r="48" spans="1:58" s="12" customFormat="1">
      <c r="A48" s="799"/>
      <c r="B48" s="124"/>
      <c r="C48" s="10"/>
      <c r="D48" s="318"/>
      <c r="E48" s="318"/>
      <c r="F48" s="577"/>
      <c r="G48" s="318"/>
      <c r="H48" s="139"/>
      <c r="I48" s="693"/>
      <c r="J48" s="693"/>
      <c r="K48" s="788"/>
      <c r="L48" s="693"/>
      <c r="M48" s="693"/>
      <c r="N48" s="693"/>
      <c r="O48" s="693"/>
      <c r="P48" s="693"/>
      <c r="Q48" s="693"/>
      <c r="R48" s="126"/>
      <c r="S48" s="693"/>
      <c r="T48" s="693"/>
      <c r="U48" s="693"/>
      <c r="V48" s="693"/>
      <c r="W48" s="693"/>
      <c r="X48" s="693"/>
      <c r="Y48" s="28"/>
      <c r="Z48" s="28"/>
      <c r="AA48" s="28"/>
      <c r="AB48" s="144"/>
      <c r="AC48" s="693"/>
      <c r="AD48" s="693"/>
      <c r="AE48" s="693"/>
      <c r="AF48" s="28"/>
      <c r="AG48" s="28"/>
      <c r="AH48" s="137"/>
      <c r="AI48" s="137"/>
      <c r="AJ48" s="60"/>
      <c r="AK48" s="127"/>
      <c r="AL48" s="28"/>
      <c r="AM48" s="28"/>
      <c r="AN48" s="61"/>
      <c r="AO48" s="61"/>
      <c r="AP48" s="446"/>
      <c r="AQ48" s="35"/>
      <c r="BC48" s="166"/>
    </row>
    <row r="49" spans="1:61" s="12" customFormat="1">
      <c r="A49" s="799"/>
      <c r="B49" s="124"/>
      <c r="C49" s="10"/>
      <c r="D49" s="318"/>
      <c r="E49" s="318"/>
      <c r="F49" s="577"/>
      <c r="G49" s="318"/>
      <c r="H49" s="139"/>
      <c r="I49" s="693"/>
      <c r="J49" s="693"/>
      <c r="K49" s="788"/>
      <c r="L49" s="693"/>
      <c r="M49" s="693"/>
      <c r="N49" s="693"/>
      <c r="O49" s="693"/>
      <c r="P49" s="693"/>
      <c r="Q49" s="693"/>
      <c r="R49" s="126"/>
      <c r="S49" s="693"/>
      <c r="T49" s="693"/>
      <c r="U49" s="693"/>
      <c r="V49" s="693"/>
      <c r="W49" s="693"/>
      <c r="X49" s="693"/>
      <c r="Y49" s="28"/>
      <c r="Z49" s="28"/>
      <c r="AA49" s="28"/>
      <c r="AB49" s="144"/>
      <c r="AC49" s="693"/>
      <c r="AD49" s="693"/>
      <c r="AE49" s="693"/>
      <c r="AF49" s="28"/>
      <c r="AG49" s="28"/>
      <c r="AH49" s="137"/>
      <c r="AI49" s="137"/>
      <c r="AJ49" s="60"/>
      <c r="AK49" s="127"/>
      <c r="AL49" s="28"/>
      <c r="AM49" s="28"/>
      <c r="AN49" s="61"/>
      <c r="AO49" s="61"/>
      <c r="AP49" s="446"/>
      <c r="AQ49" s="35"/>
      <c r="BC49" s="166"/>
    </row>
    <row r="50" spans="1:61">
      <c r="A50" s="799"/>
      <c r="B50" s="354" t="s">
        <v>32</v>
      </c>
      <c r="C50" s="1452" t="s">
        <v>503</v>
      </c>
      <c r="D50" s="1452"/>
      <c r="E50" s="1452"/>
      <c r="F50" s="1452"/>
      <c r="G50" s="1452"/>
      <c r="H50" s="1452"/>
      <c r="I50" s="1452"/>
      <c r="J50" s="1452"/>
      <c r="K50" s="1452"/>
      <c r="L50" s="1452"/>
      <c r="M50" s="1452"/>
      <c r="N50" s="1452"/>
      <c r="O50" s="1452"/>
      <c r="P50" s="1452"/>
      <c r="Q50" s="1452"/>
      <c r="R50" s="1452"/>
      <c r="S50" s="1452"/>
      <c r="T50" s="1452"/>
      <c r="U50" s="1452"/>
      <c r="V50" s="1452"/>
      <c r="W50" s="1452"/>
      <c r="X50" s="1452"/>
      <c r="Y50" s="1452"/>
      <c r="Z50" s="1452"/>
      <c r="AA50" s="1452"/>
      <c r="AB50" s="1452"/>
      <c r="AC50" s="1452"/>
      <c r="AD50" s="1452"/>
      <c r="AE50" s="1452"/>
      <c r="AF50" s="1452"/>
      <c r="AG50" s="1452"/>
      <c r="AH50" s="137"/>
      <c r="AI50" s="137"/>
      <c r="AJ50" s="36"/>
      <c r="AK50" s="36"/>
      <c r="AL50" s="36"/>
      <c r="AM50" s="36"/>
      <c r="AN50" s="61"/>
      <c r="AO50" s="61"/>
    </row>
    <row r="51" spans="1:61" s="1128" customFormat="1" ht="30" customHeight="1">
      <c r="A51" s="1126"/>
      <c r="B51" s="1127"/>
      <c r="C51" s="1117" t="s">
        <v>116</v>
      </c>
      <c r="D51" s="1424" t="s">
        <v>39</v>
      </c>
      <c r="E51" s="1425"/>
      <c r="F51" s="1425"/>
      <c r="G51" s="1425"/>
      <c r="H51" s="1425"/>
      <c r="I51" s="1426"/>
      <c r="J51" s="1443" t="s">
        <v>909</v>
      </c>
      <c r="K51" s="1444"/>
      <c r="L51" s="1444"/>
      <c r="M51" s="1444"/>
      <c r="N51" s="1444"/>
      <c r="O51" s="1444"/>
      <c r="P51" s="1444"/>
      <c r="Q51" s="1453"/>
      <c r="R51" s="1432" t="s">
        <v>22</v>
      </c>
      <c r="S51" s="1433"/>
      <c r="T51" s="1409" t="s">
        <v>136</v>
      </c>
      <c r="U51" s="1410"/>
      <c r="V51" s="1410"/>
      <c r="W51" s="1410"/>
      <c r="X51" s="1410"/>
      <c r="Y51" s="1411" t="s">
        <v>126</v>
      </c>
      <c r="Z51" s="1412"/>
      <c r="AA51" s="1124"/>
      <c r="AB51" s="1118"/>
      <c r="AC51" s="1413" t="s">
        <v>101</v>
      </c>
      <c r="AD51" s="1414"/>
      <c r="AE51" s="1414"/>
      <c r="AF51" s="1415" t="s">
        <v>23</v>
      </c>
      <c r="AG51" s="1416"/>
      <c r="AH51" s="1119"/>
      <c r="AI51" s="1454" t="s">
        <v>25</v>
      </c>
      <c r="AJ51" s="1435"/>
      <c r="AK51" s="1435"/>
      <c r="AL51" s="1435"/>
      <c r="AM51" s="1435"/>
      <c r="AN51" s="1436"/>
      <c r="AO51" s="1120"/>
      <c r="AP51" s="1125"/>
      <c r="AV51" s="1315" t="s">
        <v>82</v>
      </c>
      <c r="BC51" s="1129"/>
    </row>
    <row r="52" spans="1:61" s="152" customFormat="1">
      <c r="A52" s="584"/>
      <c r="B52" s="29"/>
      <c r="C52" s="507"/>
      <c r="D52" s="173">
        <v>1</v>
      </c>
      <c r="E52" s="134">
        <f t="shared" ref="E52:W52" si="80">D52+1</f>
        <v>2</v>
      </c>
      <c r="F52" s="574">
        <f t="shared" si="80"/>
        <v>3</v>
      </c>
      <c r="G52" s="134">
        <f t="shared" si="80"/>
        <v>4</v>
      </c>
      <c r="H52" s="134">
        <f t="shared" si="80"/>
        <v>5</v>
      </c>
      <c r="I52" s="134">
        <f t="shared" si="80"/>
        <v>6</v>
      </c>
      <c r="J52" s="173">
        <f t="shared" si="80"/>
        <v>7</v>
      </c>
      <c r="K52" s="364">
        <f t="shared" si="80"/>
        <v>8</v>
      </c>
      <c r="L52" s="134">
        <f t="shared" si="80"/>
        <v>9</v>
      </c>
      <c r="M52" s="134">
        <f t="shared" si="80"/>
        <v>10</v>
      </c>
      <c r="N52" s="134">
        <f t="shared" si="80"/>
        <v>11</v>
      </c>
      <c r="O52" s="134">
        <f t="shared" si="80"/>
        <v>12</v>
      </c>
      <c r="P52" s="134">
        <f t="shared" si="80"/>
        <v>13</v>
      </c>
      <c r="Q52" s="134">
        <f t="shared" si="80"/>
        <v>14</v>
      </c>
      <c r="R52" s="151">
        <f t="shared" si="80"/>
        <v>15</v>
      </c>
      <c r="S52" s="365">
        <f t="shared" si="80"/>
        <v>16</v>
      </c>
      <c r="T52" s="8">
        <f t="shared" si="80"/>
        <v>17</v>
      </c>
      <c r="U52" s="8">
        <f t="shared" si="80"/>
        <v>18</v>
      </c>
      <c r="V52" s="8">
        <f t="shared" si="80"/>
        <v>19</v>
      </c>
      <c r="W52" s="8">
        <f t="shared" si="80"/>
        <v>20</v>
      </c>
      <c r="X52" s="8">
        <f t="shared" ref="X52:AC52" si="81">W52+1</f>
        <v>21</v>
      </c>
      <c r="Y52" s="151">
        <f t="shared" si="81"/>
        <v>22</v>
      </c>
      <c r="Z52" s="365">
        <f t="shared" si="81"/>
        <v>23</v>
      </c>
      <c r="AA52" s="173">
        <f t="shared" si="81"/>
        <v>24</v>
      </c>
      <c r="AB52" s="134">
        <f t="shared" si="81"/>
        <v>25</v>
      </c>
      <c r="AC52" s="151">
        <f t="shared" si="81"/>
        <v>26</v>
      </c>
      <c r="AD52" s="364">
        <f t="shared" ref="AD52:AO52" si="82">AC52+1</f>
        <v>27</v>
      </c>
      <c r="AE52" s="365">
        <f t="shared" si="82"/>
        <v>28</v>
      </c>
      <c r="AF52" s="151">
        <f>AE52+1</f>
        <v>29</v>
      </c>
      <c r="AG52" s="365">
        <f t="shared" si="82"/>
        <v>30</v>
      </c>
      <c r="AH52" s="364">
        <f t="shared" si="82"/>
        <v>31</v>
      </c>
      <c r="AI52" s="364">
        <f>AH52+1</f>
        <v>32</v>
      </c>
      <c r="AJ52" s="38">
        <f>AI52+1</f>
        <v>33</v>
      </c>
      <c r="AK52" s="134">
        <f t="shared" si="82"/>
        <v>34</v>
      </c>
      <c r="AL52" s="134">
        <f t="shared" si="82"/>
        <v>35</v>
      </c>
      <c r="AM52" s="38">
        <f t="shared" ref="AM52" si="83">AL52+1</f>
        <v>36</v>
      </c>
      <c r="AN52" s="359">
        <f>AM52+1</f>
        <v>37</v>
      </c>
      <c r="AO52" s="173">
        <f t="shared" si="82"/>
        <v>38</v>
      </c>
      <c r="AP52" s="459"/>
      <c r="BC52" s="960"/>
    </row>
    <row r="53" spans="1:61" ht="120" customHeight="1">
      <c r="A53" s="799"/>
      <c r="C53" s="1068" t="s">
        <v>532</v>
      </c>
      <c r="D53" s="1026" t="s">
        <v>533</v>
      </c>
      <c r="E53" s="1025" t="s">
        <v>534</v>
      </c>
      <c r="F53" s="1025" t="s">
        <v>407</v>
      </c>
      <c r="G53" s="1025" t="s">
        <v>408</v>
      </c>
      <c r="H53" s="418" t="s">
        <v>409</v>
      </c>
      <c r="I53" s="820" t="s">
        <v>507</v>
      </c>
      <c r="J53" s="1026" t="s">
        <v>535</v>
      </c>
      <c r="K53" s="1025" t="s">
        <v>536</v>
      </c>
      <c r="L53" s="1025" t="s">
        <v>509</v>
      </c>
      <c r="M53" s="1025" t="s">
        <v>510</v>
      </c>
      <c r="N53" s="1025" t="s">
        <v>511</v>
      </c>
      <c r="O53" s="1025" t="s">
        <v>512</v>
      </c>
      <c r="P53" s="1025" t="s">
        <v>513</v>
      </c>
      <c r="Q53" s="1027" t="s">
        <v>418</v>
      </c>
      <c r="R53" s="488" t="s">
        <v>514</v>
      </c>
      <c r="S53" s="322" t="s">
        <v>448</v>
      </c>
      <c r="T53" s="819" t="s">
        <v>537</v>
      </c>
      <c r="U53" s="819" t="s">
        <v>538</v>
      </c>
      <c r="V53" s="819" t="s">
        <v>539</v>
      </c>
      <c r="W53" s="819" t="s">
        <v>518</v>
      </c>
      <c r="X53" s="819" t="s">
        <v>540</v>
      </c>
      <c r="Y53" s="175" t="s">
        <v>425</v>
      </c>
      <c r="Z53" s="545" t="s">
        <v>520</v>
      </c>
      <c r="AA53" s="819" t="s">
        <v>427</v>
      </c>
      <c r="AB53" s="819" t="s">
        <v>428</v>
      </c>
      <c r="AC53" s="1026" t="s">
        <v>429</v>
      </c>
      <c r="AD53" s="819" t="s">
        <v>541</v>
      </c>
      <c r="AE53" s="819" t="s">
        <v>529</v>
      </c>
      <c r="AF53" s="154" t="s">
        <v>523</v>
      </c>
      <c r="AG53" s="568" t="s">
        <v>524</v>
      </c>
      <c r="AH53" s="1031" t="s">
        <v>434</v>
      </c>
      <c r="AI53" s="1054" t="s">
        <v>346</v>
      </c>
      <c r="AJ53" s="1055" t="s">
        <v>435</v>
      </c>
      <c r="AK53" s="1074" t="s">
        <v>0</v>
      </c>
      <c r="AL53" s="1056" t="s">
        <v>38</v>
      </c>
      <c r="AM53" s="819" t="s">
        <v>402</v>
      </c>
      <c r="AN53" s="820" t="s">
        <v>343</v>
      </c>
      <c r="AO53" s="202" t="s">
        <v>436</v>
      </c>
      <c r="AQ53" s="1068" t="s">
        <v>542</v>
      </c>
      <c r="AR53" s="418" t="s">
        <v>438</v>
      </c>
      <c r="AS53" s="418" t="s">
        <v>439</v>
      </c>
      <c r="AT53" s="361" t="s">
        <v>440</v>
      </c>
      <c r="AU53" s="861" t="s">
        <v>403</v>
      </c>
      <c r="AV53" s="861" t="s">
        <v>746</v>
      </c>
      <c r="BC53" s="978" t="s">
        <v>779</v>
      </c>
    </row>
    <row r="54" spans="1:61" ht="14" customHeight="1">
      <c r="A54" s="799">
        <f>A36+1</f>
        <v>16</v>
      </c>
      <c r="B54" s="769">
        <f>B36+1</f>
        <v>16</v>
      </c>
      <c r="C54" s="273" t="s">
        <v>202</v>
      </c>
      <c r="D54" s="878">
        <v>96</v>
      </c>
      <c r="E54" s="379">
        <f t="shared" ref="E54:E56" si="84">2*D54</f>
        <v>192</v>
      </c>
      <c r="F54" s="379">
        <v>131</v>
      </c>
      <c r="G54" s="233">
        <f t="shared" ref="G54:G56" si="85">F54*1.15</f>
        <v>150.64999999999998</v>
      </c>
      <c r="H54" s="236">
        <f>(E54*0.23)</f>
        <v>44.160000000000004</v>
      </c>
      <c r="I54" s="235">
        <f>0.5*(H54*1.1)</f>
        <v>24.288000000000004</v>
      </c>
      <c r="J54" s="1040">
        <f>102-70</f>
        <v>32</v>
      </c>
      <c r="K54" s="877" t="s">
        <v>112</v>
      </c>
      <c r="L54" s="877" t="s">
        <v>112</v>
      </c>
      <c r="M54" s="877" t="s">
        <v>112</v>
      </c>
      <c r="N54" s="877" t="s">
        <v>112</v>
      </c>
      <c r="O54" s="877" t="s">
        <v>112</v>
      </c>
      <c r="P54" s="877" t="s">
        <v>112</v>
      </c>
      <c r="Q54" s="1061">
        <f>SUM(J54:P54)</f>
        <v>32</v>
      </c>
      <c r="R54" s="303">
        <f t="shared" ref="R54" si="86">2*Q54</f>
        <v>64</v>
      </c>
      <c r="S54" s="340">
        <f t="shared" ref="S54" si="87">R54+(2*71)</f>
        <v>206</v>
      </c>
      <c r="T54" s="608">
        <v>58</v>
      </c>
      <c r="U54" s="632" t="s">
        <v>112</v>
      </c>
      <c r="V54" s="632" t="s">
        <v>112</v>
      </c>
      <c r="W54" s="632" t="s">
        <v>112</v>
      </c>
      <c r="X54" s="612">
        <f t="shared" ref="X54:X56" si="88">SUM(T54:W54)</f>
        <v>58</v>
      </c>
      <c r="Y54" s="510">
        <f>2*X54</f>
        <v>116</v>
      </c>
      <c r="Z54" s="517">
        <f t="shared" ref="Z54:Z56" si="89">Y54+(23)</f>
        <v>139</v>
      </c>
      <c r="AA54" s="612">
        <f t="shared" ref="AA54" si="90">Z54-H54</f>
        <v>94.84</v>
      </c>
      <c r="AB54" s="618">
        <f t="shared" ref="AB54" si="91">Z54-I54</f>
        <v>114.71199999999999</v>
      </c>
      <c r="AC54" s="1065">
        <v>96</v>
      </c>
      <c r="AD54" s="871">
        <f>33.89+(0.2095*AC54)</f>
        <v>54.001999999999995</v>
      </c>
      <c r="AE54" s="612">
        <f t="shared" ref="AE54:AE56" si="92">X54-T54+AD54</f>
        <v>54.001999999999995</v>
      </c>
      <c r="AF54" s="240">
        <f t="shared" ref="AF54" si="93">2*AE54</f>
        <v>108.00399999999999</v>
      </c>
      <c r="AG54" s="241">
        <f t="shared" ref="AG54" si="94">AF54+(23)</f>
        <v>131.00399999999999</v>
      </c>
      <c r="AH54" s="626">
        <f t="shared" ref="AH54:AH56" si="95">AG54-I54</f>
        <v>106.71599999999998</v>
      </c>
      <c r="AI54" s="617" t="s">
        <v>350</v>
      </c>
      <c r="AJ54" s="1071">
        <v>255</v>
      </c>
      <c r="AK54" s="1075">
        <f t="shared" ref="AK54" si="96">(2*AJ54)+(2*71)+(2*45)</f>
        <v>742</v>
      </c>
      <c r="AL54" s="1071">
        <f t="shared" ref="AL54" si="97">S54-AK54</f>
        <v>-536</v>
      </c>
      <c r="AM54" s="612">
        <f>15+15</f>
        <v>30</v>
      </c>
      <c r="AN54" s="235">
        <f>466+(1*23)+AM54</f>
        <v>519</v>
      </c>
      <c r="AO54" s="236">
        <f t="shared" ref="AO54" si="98">Z54-AN54</f>
        <v>-380</v>
      </c>
      <c r="AP54" s="645"/>
      <c r="AQ54" s="273" t="s">
        <v>203</v>
      </c>
      <c r="AR54" s="695">
        <f>H54</f>
        <v>44.160000000000004</v>
      </c>
      <c r="AS54" s="695">
        <f>Z54</f>
        <v>139</v>
      </c>
      <c r="AT54" s="695">
        <f>AN54</f>
        <v>519</v>
      </c>
      <c r="AU54" s="696">
        <f>S54-G54</f>
        <v>55.350000000000023</v>
      </c>
      <c r="AV54" s="698">
        <f>AL54</f>
        <v>-536</v>
      </c>
      <c r="BC54" s="957">
        <f>B54</f>
        <v>16</v>
      </c>
      <c r="BI54" s="1287">
        <v>1</v>
      </c>
    </row>
    <row r="55" spans="1:61" s="277" customFormat="1">
      <c r="A55" s="799">
        <f>A54+1</f>
        <v>17</v>
      </c>
      <c r="B55" s="763">
        <v>1</v>
      </c>
      <c r="C55" s="299" t="s">
        <v>69</v>
      </c>
      <c r="D55" s="300">
        <v>121</v>
      </c>
      <c r="E55" s="301">
        <f t="shared" si="84"/>
        <v>242</v>
      </c>
      <c r="F55" s="276">
        <f>(2*134)</f>
        <v>268</v>
      </c>
      <c r="G55" s="233">
        <f t="shared" si="85"/>
        <v>308.2</v>
      </c>
      <c r="H55" s="236">
        <f t="shared" ref="H55:H56" si="99">(E55*0.23)</f>
        <v>55.660000000000004</v>
      </c>
      <c r="I55" s="235">
        <f t="shared" ref="I55:I56" si="100">0.5*(H55*1.1)</f>
        <v>30.613000000000003</v>
      </c>
      <c r="J55" s="877">
        <f>125-70</f>
        <v>55</v>
      </c>
      <c r="K55" s="877" t="s">
        <v>112</v>
      </c>
      <c r="L55" s="877" t="s">
        <v>112</v>
      </c>
      <c r="M55" s="877" t="s">
        <v>112</v>
      </c>
      <c r="N55" s="877" t="s">
        <v>112</v>
      </c>
      <c r="O55" s="877" t="s">
        <v>112</v>
      </c>
      <c r="P55" s="877" t="s">
        <v>112</v>
      </c>
      <c r="Q55" s="1061">
        <f t="shared" ref="Q55:Q56" si="101">SUM(J55:P55)</f>
        <v>55</v>
      </c>
      <c r="R55" s="303">
        <f t="shared" ref="R55:R56" si="102">2*Q55</f>
        <v>110</v>
      </c>
      <c r="S55" s="340">
        <f t="shared" ref="S55:S56" si="103">R55+(2*71)</f>
        <v>252</v>
      </c>
      <c r="T55" s="608">
        <v>62</v>
      </c>
      <c r="U55" s="632" t="s">
        <v>112</v>
      </c>
      <c r="V55" s="632" t="s">
        <v>112</v>
      </c>
      <c r="W55" s="632" t="s">
        <v>112</v>
      </c>
      <c r="X55" s="612">
        <f t="shared" si="88"/>
        <v>62</v>
      </c>
      <c r="Y55" s="510">
        <f t="shared" ref="Y55:Y56" si="104">2*X55</f>
        <v>124</v>
      </c>
      <c r="Z55" s="517">
        <f t="shared" si="89"/>
        <v>147</v>
      </c>
      <c r="AA55" s="612">
        <f t="shared" ref="AA55:AA56" si="105">Z55-H55</f>
        <v>91.34</v>
      </c>
      <c r="AB55" s="618">
        <f t="shared" ref="AB55:AB56" si="106">Z55-I55</f>
        <v>116.387</v>
      </c>
      <c r="AC55" s="630">
        <f>199-78</f>
        <v>121</v>
      </c>
      <c r="AD55" s="871">
        <f t="shared" ref="AD55:AD56" si="107">33.89+(0.2095*AC55)</f>
        <v>59.2395</v>
      </c>
      <c r="AE55" s="612">
        <f t="shared" si="92"/>
        <v>59.2395</v>
      </c>
      <c r="AF55" s="240">
        <f t="shared" ref="AF55:AF56" si="108">2*AE55</f>
        <v>118.479</v>
      </c>
      <c r="AG55" s="241">
        <f t="shared" ref="AG55:AG56" si="109">AF55+(23)</f>
        <v>141.47899999999998</v>
      </c>
      <c r="AH55" s="626">
        <f t="shared" si="95"/>
        <v>110.86599999999999</v>
      </c>
      <c r="AI55" s="617" t="s">
        <v>350</v>
      </c>
      <c r="AJ55" s="1071">
        <v>255</v>
      </c>
      <c r="AK55" s="1075">
        <f t="shared" ref="AK55:AK56" si="110">(2*AJ55)+(2*71)+(2*45)</f>
        <v>742</v>
      </c>
      <c r="AL55" s="1071">
        <f t="shared" ref="AL55:AL56" si="111">S55-AK55</f>
        <v>-490</v>
      </c>
      <c r="AM55" s="612">
        <v>15</v>
      </c>
      <c r="AN55" s="235">
        <f>466+(1*23)+AM55</f>
        <v>504</v>
      </c>
      <c r="AO55" s="236">
        <f t="shared" ref="AO55:AO56" si="112">Z55-AN55</f>
        <v>-357</v>
      </c>
      <c r="AP55" s="560"/>
      <c r="AQ55" s="273" t="s">
        <v>122</v>
      </c>
      <c r="AR55" s="695">
        <f t="shared" ref="AR55:AR56" si="113">H55</f>
        <v>55.660000000000004</v>
      </c>
      <c r="AS55" s="695">
        <f t="shared" ref="AS55:AS56" si="114">Z55</f>
        <v>147</v>
      </c>
      <c r="AT55" s="695">
        <f t="shared" ref="AT55:AT56" si="115">AN55</f>
        <v>504</v>
      </c>
      <c r="AU55" s="696">
        <f t="shared" ref="AU55:AU56" si="116">S55-G55</f>
        <v>-56.199999999999989</v>
      </c>
      <c r="AV55" s="698">
        <f t="shared" ref="AV55:AV56" si="117">AL55</f>
        <v>-490</v>
      </c>
      <c r="BC55" s="964">
        <f>B55</f>
        <v>1</v>
      </c>
      <c r="BE55"/>
      <c r="BH55" s="1287">
        <v>1</v>
      </c>
    </row>
    <row r="56" spans="1:61" s="242" customFormat="1">
      <c r="A56" s="799">
        <f t="shared" ref="A56:A58" si="118">A55+1</f>
        <v>18</v>
      </c>
      <c r="B56" s="763">
        <f t="shared" ref="B56:B58" si="119">B55+1</f>
        <v>2</v>
      </c>
      <c r="C56" s="273" t="s">
        <v>70</v>
      </c>
      <c r="D56" s="229">
        <v>152</v>
      </c>
      <c r="E56" s="301">
        <f t="shared" si="84"/>
        <v>304</v>
      </c>
      <c r="F56" s="549">
        <f>(2*147)</f>
        <v>294</v>
      </c>
      <c r="G56" s="233">
        <f t="shared" si="85"/>
        <v>338.09999999999997</v>
      </c>
      <c r="H56" s="236">
        <f t="shared" si="99"/>
        <v>69.92</v>
      </c>
      <c r="I56" s="235">
        <f t="shared" si="100"/>
        <v>38.456000000000003</v>
      </c>
      <c r="J56" s="874">
        <f>125-44</f>
        <v>81</v>
      </c>
      <c r="K56" s="877" t="s">
        <v>112</v>
      </c>
      <c r="L56" s="877" t="s">
        <v>112</v>
      </c>
      <c r="M56" s="877" t="s">
        <v>112</v>
      </c>
      <c r="N56" s="877" t="s">
        <v>112</v>
      </c>
      <c r="O56" s="877" t="s">
        <v>112</v>
      </c>
      <c r="P56" s="877" t="s">
        <v>112</v>
      </c>
      <c r="Q56" s="1061">
        <f t="shared" si="101"/>
        <v>81</v>
      </c>
      <c r="R56" s="303">
        <f t="shared" si="102"/>
        <v>162</v>
      </c>
      <c r="S56" s="340">
        <f t="shared" si="103"/>
        <v>304</v>
      </c>
      <c r="T56" s="608">
        <v>66</v>
      </c>
      <c r="U56" s="632" t="s">
        <v>112</v>
      </c>
      <c r="V56" s="632" t="s">
        <v>112</v>
      </c>
      <c r="W56" s="632" t="s">
        <v>112</v>
      </c>
      <c r="X56" s="612">
        <f t="shared" si="88"/>
        <v>66</v>
      </c>
      <c r="Y56" s="510">
        <f t="shared" si="104"/>
        <v>132</v>
      </c>
      <c r="Z56" s="517">
        <f t="shared" si="89"/>
        <v>155</v>
      </c>
      <c r="AA56" s="612">
        <f t="shared" si="105"/>
        <v>85.08</v>
      </c>
      <c r="AB56" s="618">
        <f t="shared" si="106"/>
        <v>116.544</v>
      </c>
      <c r="AC56" s="630">
        <f>(199-48)</f>
        <v>151</v>
      </c>
      <c r="AD56" s="871">
        <f t="shared" si="107"/>
        <v>65.524500000000003</v>
      </c>
      <c r="AE56" s="612">
        <f t="shared" si="92"/>
        <v>65.524500000000003</v>
      </c>
      <c r="AF56" s="240">
        <f t="shared" si="108"/>
        <v>131.04900000000001</v>
      </c>
      <c r="AG56" s="241">
        <f t="shared" si="109"/>
        <v>154.04900000000001</v>
      </c>
      <c r="AH56" s="626">
        <f t="shared" si="95"/>
        <v>115.593</v>
      </c>
      <c r="AI56" s="617" t="s">
        <v>350</v>
      </c>
      <c r="AJ56" s="1071">
        <v>255</v>
      </c>
      <c r="AK56" s="1075">
        <f t="shared" si="110"/>
        <v>742</v>
      </c>
      <c r="AL56" s="1071">
        <f t="shared" si="111"/>
        <v>-438</v>
      </c>
      <c r="AM56" s="666" t="s">
        <v>113</v>
      </c>
      <c r="AN56" s="235">
        <f>466+(1*23)</f>
        <v>489</v>
      </c>
      <c r="AO56" s="236">
        <f t="shared" si="112"/>
        <v>-334</v>
      </c>
      <c r="AP56" s="453"/>
      <c r="AQ56" s="273" t="s">
        <v>200</v>
      </c>
      <c r="AR56" s="695">
        <f t="shared" si="113"/>
        <v>69.92</v>
      </c>
      <c r="AS56" s="695">
        <f t="shared" si="114"/>
        <v>155</v>
      </c>
      <c r="AT56" s="695">
        <f t="shared" si="115"/>
        <v>489</v>
      </c>
      <c r="AU56" s="696">
        <f t="shared" si="116"/>
        <v>-34.099999999999966</v>
      </c>
      <c r="AV56" s="698">
        <f t="shared" si="117"/>
        <v>-438</v>
      </c>
      <c r="BC56" s="964">
        <f t="shared" ref="BC56:BC58" si="120">B56</f>
        <v>2</v>
      </c>
      <c r="BH56" s="1287">
        <v>1</v>
      </c>
    </row>
    <row r="57" spans="1:61" s="277" customFormat="1">
      <c r="A57" s="799">
        <f t="shared" si="118"/>
        <v>19</v>
      </c>
      <c r="B57" s="763">
        <f t="shared" si="119"/>
        <v>3</v>
      </c>
      <c r="C57" s="274" t="s">
        <v>52</v>
      </c>
      <c r="D57" s="275">
        <v>145</v>
      </c>
      <c r="E57" s="301">
        <f>2*D57</f>
        <v>290</v>
      </c>
      <c r="F57" s="276">
        <f>2*139</f>
        <v>278</v>
      </c>
      <c r="G57" s="233">
        <f>F57*1.15</f>
        <v>319.7</v>
      </c>
      <c r="H57" s="236">
        <f>(E57*0.23)</f>
        <v>66.7</v>
      </c>
      <c r="I57" s="235">
        <f>0.5*(H57*1.1)</f>
        <v>36.685000000000002</v>
      </c>
      <c r="J57" s="877">
        <f>147-70</f>
        <v>77</v>
      </c>
      <c r="K57" s="877" t="s">
        <v>112</v>
      </c>
      <c r="L57" s="877" t="s">
        <v>112</v>
      </c>
      <c r="M57" s="877" t="s">
        <v>112</v>
      </c>
      <c r="N57" s="877" t="s">
        <v>112</v>
      </c>
      <c r="O57" s="877" t="s">
        <v>112</v>
      </c>
      <c r="P57" s="877" t="s">
        <v>112</v>
      </c>
      <c r="Q57" s="1061">
        <f>SUM(J57:P57)</f>
        <v>77</v>
      </c>
      <c r="R57" s="303">
        <f>2*Q57</f>
        <v>154</v>
      </c>
      <c r="S57" s="340">
        <f>R57+(2*71)</f>
        <v>296</v>
      </c>
      <c r="T57" s="608">
        <v>68</v>
      </c>
      <c r="U57" s="632" t="s">
        <v>112</v>
      </c>
      <c r="V57" s="632" t="s">
        <v>112</v>
      </c>
      <c r="W57" s="632" t="s">
        <v>112</v>
      </c>
      <c r="X57" s="612">
        <f>SUM(T57:W57)</f>
        <v>68</v>
      </c>
      <c r="Y57" s="510">
        <f>2*X57</f>
        <v>136</v>
      </c>
      <c r="Z57" s="517">
        <f>Y57+(23)</f>
        <v>159</v>
      </c>
      <c r="AA57" s="612">
        <f t="shared" ref="AA57" si="121">Z57-H57</f>
        <v>92.3</v>
      </c>
      <c r="AB57" s="618">
        <f t="shared" ref="AB57" si="122">Z57-I57</f>
        <v>122.315</v>
      </c>
      <c r="AC57" s="1066">
        <f>232-78</f>
        <v>154</v>
      </c>
      <c r="AD57" s="871">
        <f>33.89+(0.2095*AC57)</f>
        <v>66.152999999999992</v>
      </c>
      <c r="AE57" s="612">
        <f>X57-T57+AD57</f>
        <v>66.152999999999992</v>
      </c>
      <c r="AF57" s="240">
        <f>2*AE57</f>
        <v>132.30599999999998</v>
      </c>
      <c r="AG57" s="241">
        <f>AF57+(23)</f>
        <v>155.30599999999998</v>
      </c>
      <c r="AH57" s="618">
        <f>AG57-I57</f>
        <v>118.62099999999998</v>
      </c>
      <c r="AI57" s="617" t="s">
        <v>350</v>
      </c>
      <c r="AJ57" s="1071">
        <v>255</v>
      </c>
      <c r="AK57" s="1075">
        <f>(2*AJ57)+(2*71)+(2*45)</f>
        <v>742</v>
      </c>
      <c r="AL57" s="1071">
        <f>S57-AK57</f>
        <v>-446</v>
      </c>
      <c r="AM57" s="612">
        <f>15+15</f>
        <v>30</v>
      </c>
      <c r="AN57" s="235">
        <f>466+(1*23)+AM57</f>
        <v>519</v>
      </c>
      <c r="AO57" s="236">
        <f>Z57-AN57</f>
        <v>-360</v>
      </c>
      <c r="AP57" s="561"/>
      <c r="AQ57" s="273" t="s">
        <v>123</v>
      </c>
      <c r="AR57" s="695">
        <f>H57</f>
        <v>66.7</v>
      </c>
      <c r="AS57" s="695">
        <f>Z57</f>
        <v>159</v>
      </c>
      <c r="AT57" s="695">
        <f>AN57</f>
        <v>519</v>
      </c>
      <c r="AU57" s="696">
        <f>S57-G57</f>
        <v>-23.699999999999989</v>
      </c>
      <c r="AV57" s="698">
        <f>AL57</f>
        <v>-446</v>
      </c>
      <c r="BC57" s="964">
        <f t="shared" si="120"/>
        <v>3</v>
      </c>
      <c r="BE57"/>
      <c r="BH57" s="1287">
        <v>1</v>
      </c>
    </row>
    <row r="58" spans="1:61" s="242" customFormat="1">
      <c r="A58" s="799">
        <f t="shared" si="118"/>
        <v>20</v>
      </c>
      <c r="B58" s="763">
        <f t="shared" si="119"/>
        <v>4</v>
      </c>
      <c r="C58" s="273" t="s">
        <v>880</v>
      </c>
      <c r="D58" s="229">
        <v>161</v>
      </c>
      <c r="E58" s="301">
        <f>2*D58</f>
        <v>322</v>
      </c>
      <c r="F58" s="549">
        <f>2*155</f>
        <v>310</v>
      </c>
      <c r="G58" s="233">
        <f>F58*1.15</f>
        <v>356.5</v>
      </c>
      <c r="H58" s="236">
        <f>(E58*0.23)</f>
        <v>74.06</v>
      </c>
      <c r="I58" s="235">
        <f>0.5*(H58*1.1)</f>
        <v>40.733000000000004</v>
      </c>
      <c r="J58" s="629">
        <v>102</v>
      </c>
      <c r="K58" s="877" t="s">
        <v>112</v>
      </c>
      <c r="L58" s="877" t="s">
        <v>112</v>
      </c>
      <c r="M58" s="877" t="s">
        <v>112</v>
      </c>
      <c r="N58" s="877" t="s">
        <v>112</v>
      </c>
      <c r="O58" s="877" t="s">
        <v>112</v>
      </c>
      <c r="P58" s="877" t="s">
        <v>112</v>
      </c>
      <c r="Q58" s="1061">
        <f>SUM(J58:P58)</f>
        <v>102</v>
      </c>
      <c r="R58" s="303">
        <f t="shared" ref="R58" si="123">2*Q58</f>
        <v>204</v>
      </c>
      <c r="S58" s="340">
        <f t="shared" ref="S58" si="124">R58+(2*71)</f>
        <v>346</v>
      </c>
      <c r="T58" s="608">
        <v>70</v>
      </c>
      <c r="U58" s="632" t="s">
        <v>112</v>
      </c>
      <c r="V58" s="632" t="s">
        <v>112</v>
      </c>
      <c r="W58" s="632" t="s">
        <v>112</v>
      </c>
      <c r="X58" s="612">
        <f>SUM(T58:W58)</f>
        <v>70</v>
      </c>
      <c r="Y58" s="510">
        <f>2*X58</f>
        <v>140</v>
      </c>
      <c r="Z58" s="517">
        <f>Y58+(23)</f>
        <v>163</v>
      </c>
      <c r="AA58" s="612">
        <f>Z58-H58</f>
        <v>88.94</v>
      </c>
      <c r="AB58" s="618">
        <f>Z58-I58</f>
        <v>122.267</v>
      </c>
      <c r="AC58" s="630">
        <v>178</v>
      </c>
      <c r="AD58" s="871">
        <f>33.89+(0.2095*AC58)</f>
        <v>71.180999999999997</v>
      </c>
      <c r="AE58" s="612">
        <f>X58-T58+AD58</f>
        <v>71.180999999999997</v>
      </c>
      <c r="AF58" s="240">
        <f>2*AE58</f>
        <v>142.36199999999999</v>
      </c>
      <c r="AG58" s="241">
        <f>AF58+(23)</f>
        <v>165.36199999999999</v>
      </c>
      <c r="AH58" s="626">
        <f>AG58-I58</f>
        <v>124.62899999999999</v>
      </c>
      <c r="AI58" s="1076" t="s">
        <v>1146</v>
      </c>
      <c r="AJ58" s="1071">
        <v>60</v>
      </c>
      <c r="AK58" s="1075">
        <f t="shared" ref="AK58" si="125">(2*AJ58)+(2*71)+(2*45)</f>
        <v>352</v>
      </c>
      <c r="AL58" s="1071">
        <f t="shared" ref="AL58" si="126">S58-AK58</f>
        <v>-6</v>
      </c>
      <c r="AM58" s="612">
        <v>15</v>
      </c>
      <c r="AN58" s="235">
        <f>523+(1*23)+AM58</f>
        <v>561</v>
      </c>
      <c r="AO58" s="236">
        <f t="shared" ref="AO58" si="127">Z58-AN58</f>
        <v>-398</v>
      </c>
      <c r="AP58" s="453"/>
      <c r="AQ58" s="273" t="s">
        <v>752</v>
      </c>
      <c r="AR58" s="695">
        <f>H58</f>
        <v>74.06</v>
      </c>
      <c r="AS58" s="695">
        <f>Z58</f>
        <v>163</v>
      </c>
      <c r="AT58" s="695">
        <f>AN58</f>
        <v>561</v>
      </c>
      <c r="AU58" s="696">
        <f>S58-G58</f>
        <v>-10.5</v>
      </c>
      <c r="AV58" s="698">
        <f>AL58</f>
        <v>-6</v>
      </c>
      <c r="BC58" s="964">
        <f t="shared" si="120"/>
        <v>4</v>
      </c>
      <c r="BE58"/>
      <c r="BH58" s="1287">
        <v>1</v>
      </c>
    </row>
    <row r="59" spans="1:61" ht="325" customHeight="1">
      <c r="A59" s="799"/>
      <c r="C59" s="1042" t="s">
        <v>543</v>
      </c>
      <c r="D59" s="1427" t="s">
        <v>854</v>
      </c>
      <c r="E59" s="1365"/>
      <c r="F59" s="872" t="s">
        <v>856</v>
      </c>
      <c r="G59" s="578" t="s">
        <v>857</v>
      </c>
      <c r="H59" s="1046" t="s">
        <v>190</v>
      </c>
      <c r="I59" s="844"/>
      <c r="J59" s="1062" t="s">
        <v>201</v>
      </c>
      <c r="K59" s="1063"/>
      <c r="L59" s="1064"/>
      <c r="M59" s="866"/>
      <c r="N59" s="866"/>
      <c r="O59" s="1019"/>
      <c r="P59" s="1019"/>
      <c r="Q59" s="1019"/>
      <c r="R59" s="333"/>
      <c r="S59" s="501" t="s">
        <v>1161</v>
      </c>
      <c r="T59" s="866" t="s">
        <v>197</v>
      </c>
      <c r="U59" s="174"/>
      <c r="V59" s="174"/>
      <c r="W59" s="174"/>
      <c r="X59" s="40"/>
      <c r="Y59" s="96"/>
      <c r="Z59" s="1034" t="s">
        <v>1170</v>
      </c>
      <c r="AA59" s="370"/>
      <c r="AB59" s="1036" t="s">
        <v>220</v>
      </c>
      <c r="AC59" s="1073" t="s">
        <v>858</v>
      </c>
      <c r="AD59" s="1036" t="s">
        <v>127</v>
      </c>
      <c r="AE59" s="442"/>
      <c r="AF59" s="214"/>
      <c r="AG59" s="1034" t="s">
        <v>1170</v>
      </c>
      <c r="AH59" s="363"/>
      <c r="AI59" s="1077"/>
      <c r="AJ59" s="1078" t="s">
        <v>1153</v>
      </c>
      <c r="AK59" s="1005" t="s">
        <v>1</v>
      </c>
      <c r="AL59" s="1079"/>
      <c r="AM59" s="36"/>
      <c r="AN59" s="540" t="s">
        <v>46</v>
      </c>
      <c r="AO59" s="174"/>
      <c r="AQ59" s="1042" t="s">
        <v>544</v>
      </c>
    </row>
    <row r="60" spans="1:61" s="12" customFormat="1" ht="17">
      <c r="A60" s="799"/>
      <c r="B60" s="124"/>
      <c r="C60" s="10"/>
      <c r="D60" s="10"/>
      <c r="E60" s="135"/>
      <c r="F60" s="575"/>
      <c r="G60" s="135"/>
      <c r="H60" s="136"/>
      <c r="I60" s="131"/>
      <c r="J60" s="131"/>
      <c r="K60" s="788"/>
      <c r="L60" s="131"/>
      <c r="M60" s="131"/>
      <c r="N60" s="131"/>
      <c r="O60" s="131"/>
      <c r="P60" s="131"/>
      <c r="Q60" s="131"/>
      <c r="R60" s="126" t="s">
        <v>82</v>
      </c>
      <c r="S60" s="131"/>
      <c r="T60" s="131"/>
      <c r="U60" s="131"/>
      <c r="V60" s="131"/>
      <c r="W60" s="131"/>
      <c r="X60" s="131"/>
      <c r="Y60" s="28"/>
      <c r="Z60" s="28"/>
      <c r="AA60" s="70"/>
      <c r="AB60" s="81"/>
      <c r="AC60" s="131"/>
      <c r="AD60" s="131"/>
      <c r="AE60" s="131"/>
      <c r="AF60" s="28"/>
      <c r="AG60" s="28"/>
      <c r="AH60" s="137"/>
      <c r="AI60" s="137"/>
      <c r="AJ60" s="138"/>
      <c r="AK60" s="127"/>
      <c r="AL60" s="28"/>
      <c r="AM60" s="28"/>
      <c r="AN60" s="61"/>
      <c r="AO60" s="61"/>
      <c r="AP60" s="446"/>
      <c r="AV60" s="508" t="s">
        <v>82</v>
      </c>
      <c r="BC60" s="166"/>
    </row>
    <row r="61" spans="1:61" s="12" customFormat="1">
      <c r="A61" s="799"/>
      <c r="B61" s="124"/>
      <c r="C61" s="10"/>
      <c r="D61" s="10"/>
      <c r="E61" s="135"/>
      <c r="F61" s="575"/>
      <c r="G61" s="135"/>
      <c r="H61" s="136"/>
      <c r="I61" s="740"/>
      <c r="J61" s="740"/>
      <c r="K61" s="788"/>
      <c r="L61" s="740"/>
      <c r="M61" s="740"/>
      <c r="N61" s="740"/>
      <c r="O61" s="740"/>
      <c r="P61" s="740"/>
      <c r="Q61" s="740"/>
      <c r="R61" s="126"/>
      <c r="S61" s="740"/>
      <c r="T61" s="740"/>
      <c r="U61" s="740"/>
      <c r="V61" s="740"/>
      <c r="W61" s="740"/>
      <c r="X61" s="740"/>
      <c r="Y61" s="28"/>
      <c r="Z61" s="28"/>
      <c r="AA61" s="70"/>
      <c r="AB61" s="81"/>
      <c r="AC61" s="740"/>
      <c r="AD61" s="740"/>
      <c r="AE61" s="740"/>
      <c r="AF61" s="28"/>
      <c r="AG61" s="28"/>
      <c r="AH61" s="137"/>
      <c r="AI61" s="137"/>
      <c r="AJ61" s="138"/>
      <c r="AK61" s="127"/>
      <c r="AL61" s="28"/>
      <c r="AM61" s="28"/>
      <c r="AN61" s="739"/>
      <c r="AO61" s="739"/>
      <c r="AP61" s="446"/>
      <c r="BC61" s="166"/>
    </row>
    <row r="62" spans="1:61">
      <c r="A62" s="799"/>
      <c r="B62" s="354" t="s">
        <v>33</v>
      </c>
      <c r="C62" s="1452" t="s">
        <v>503</v>
      </c>
      <c r="D62" s="1452"/>
      <c r="E62" s="1452"/>
      <c r="F62" s="1452"/>
      <c r="G62" s="1452"/>
      <c r="H62" s="1452"/>
      <c r="I62" s="1452"/>
      <c r="J62" s="1452"/>
      <c r="K62" s="1452"/>
      <c r="L62" s="1452"/>
      <c r="M62" s="1452"/>
      <c r="N62" s="1452"/>
      <c r="O62" s="1452"/>
      <c r="P62" s="1452"/>
      <c r="Q62" s="1452"/>
      <c r="R62" s="1452"/>
      <c r="S62" s="1452"/>
      <c r="T62" s="1452"/>
      <c r="U62" s="1452"/>
      <c r="V62" s="1452"/>
      <c r="W62" s="1452"/>
      <c r="X62" s="1452"/>
      <c r="Y62" s="1452"/>
      <c r="Z62" s="1452"/>
      <c r="AA62" s="1452"/>
      <c r="AB62" s="1452"/>
      <c r="AC62" s="1452"/>
      <c r="AD62" s="1452"/>
      <c r="AE62" s="1452"/>
      <c r="AF62" s="1452"/>
      <c r="AG62" s="1452"/>
      <c r="AH62" s="137"/>
      <c r="AI62" s="137"/>
      <c r="AJ62" s="36"/>
      <c r="AK62" s="36"/>
      <c r="AL62" s="36"/>
      <c r="AM62" s="36"/>
      <c r="AN62" s="739"/>
      <c r="AO62" s="739"/>
    </row>
    <row r="63" spans="1:61" s="1128" customFormat="1" ht="30" customHeight="1">
      <c r="A63" s="1126"/>
      <c r="B63" s="1127"/>
      <c r="C63" s="1117" t="s">
        <v>116</v>
      </c>
      <c r="D63" s="1424" t="s">
        <v>39</v>
      </c>
      <c r="E63" s="1425"/>
      <c r="F63" s="1425"/>
      <c r="G63" s="1425"/>
      <c r="H63" s="1425"/>
      <c r="I63" s="1426"/>
      <c r="J63" s="1443" t="s">
        <v>909</v>
      </c>
      <c r="K63" s="1444"/>
      <c r="L63" s="1444"/>
      <c r="M63" s="1444"/>
      <c r="N63" s="1444"/>
      <c r="O63" s="1444"/>
      <c r="P63" s="1444"/>
      <c r="Q63" s="1453"/>
      <c r="R63" s="1432" t="s">
        <v>22</v>
      </c>
      <c r="S63" s="1433"/>
      <c r="T63" s="1409" t="s">
        <v>136</v>
      </c>
      <c r="U63" s="1410"/>
      <c r="V63" s="1410"/>
      <c r="W63" s="1410"/>
      <c r="X63" s="1410"/>
      <c r="Y63" s="1411" t="s">
        <v>126</v>
      </c>
      <c r="Z63" s="1412"/>
      <c r="AA63" s="1124"/>
      <c r="AB63" s="1118"/>
      <c r="AC63" s="1413" t="s">
        <v>101</v>
      </c>
      <c r="AD63" s="1414"/>
      <c r="AE63" s="1414"/>
      <c r="AF63" s="1415" t="s">
        <v>23</v>
      </c>
      <c r="AG63" s="1416"/>
      <c r="AH63" s="1119"/>
      <c r="AI63" s="1434" t="s">
        <v>25</v>
      </c>
      <c r="AJ63" s="1435"/>
      <c r="AK63" s="1435"/>
      <c r="AL63" s="1435"/>
      <c r="AM63" s="1435"/>
      <c r="AN63" s="1436"/>
      <c r="AO63" s="1120"/>
      <c r="AP63" s="1125"/>
      <c r="AV63" s="1315" t="s">
        <v>82</v>
      </c>
      <c r="BC63" s="1129"/>
    </row>
    <row r="64" spans="1:61" s="152" customFormat="1">
      <c r="A64" s="584"/>
      <c r="B64" s="29"/>
      <c r="C64" s="507"/>
      <c r="D64" s="173">
        <v>1</v>
      </c>
      <c r="E64" s="134">
        <f t="shared" ref="E64" si="128">D64+1</f>
        <v>2</v>
      </c>
      <c r="F64" s="574">
        <f t="shared" ref="F64" si="129">E64+1</f>
        <v>3</v>
      </c>
      <c r="G64" s="134">
        <f t="shared" ref="G64" si="130">F64+1</f>
        <v>4</v>
      </c>
      <c r="H64" s="134">
        <f t="shared" ref="H64" si="131">G64+1</f>
        <v>5</v>
      </c>
      <c r="I64" s="134">
        <f t="shared" ref="I64" si="132">H64+1</f>
        <v>6</v>
      </c>
      <c r="J64" s="173">
        <f t="shared" ref="J64" si="133">I64+1</f>
        <v>7</v>
      </c>
      <c r="K64" s="364">
        <f t="shared" ref="K64" si="134">J64+1</f>
        <v>8</v>
      </c>
      <c r="L64" s="134">
        <f t="shared" ref="L64" si="135">K64+1</f>
        <v>9</v>
      </c>
      <c r="M64" s="134">
        <f t="shared" ref="M64" si="136">L64+1</f>
        <v>10</v>
      </c>
      <c r="N64" s="134">
        <f t="shared" ref="N64" si="137">M64+1</f>
        <v>11</v>
      </c>
      <c r="O64" s="134">
        <f t="shared" ref="O64" si="138">N64+1</f>
        <v>12</v>
      </c>
      <c r="P64" s="134">
        <f t="shared" ref="P64" si="139">O64+1</f>
        <v>13</v>
      </c>
      <c r="Q64" s="134">
        <f t="shared" ref="Q64" si="140">P64+1</f>
        <v>14</v>
      </c>
      <c r="R64" s="151">
        <f t="shared" ref="R64" si="141">Q64+1</f>
        <v>15</v>
      </c>
      <c r="S64" s="365">
        <f t="shared" ref="S64" si="142">R64+1</f>
        <v>16</v>
      </c>
      <c r="T64" s="8">
        <f t="shared" ref="T64" si="143">S64+1</f>
        <v>17</v>
      </c>
      <c r="U64" s="8">
        <f t="shared" ref="U64" si="144">T64+1</f>
        <v>18</v>
      </c>
      <c r="V64" s="8">
        <f t="shared" ref="V64" si="145">U64+1</f>
        <v>19</v>
      </c>
      <c r="W64" s="8">
        <f t="shared" ref="W64" si="146">V64+1</f>
        <v>20</v>
      </c>
      <c r="X64" s="8">
        <f t="shared" ref="X64" si="147">W64+1</f>
        <v>21</v>
      </c>
      <c r="Y64" s="151">
        <f t="shared" ref="Y64" si="148">X64+1</f>
        <v>22</v>
      </c>
      <c r="Z64" s="365">
        <f t="shared" ref="Z64" si="149">Y64+1</f>
        <v>23</v>
      </c>
      <c r="AA64" s="173">
        <f t="shared" ref="AA64" si="150">Z64+1</f>
        <v>24</v>
      </c>
      <c r="AB64" s="134">
        <f t="shared" ref="AB64" si="151">AA64+1</f>
        <v>25</v>
      </c>
      <c r="AC64" s="151">
        <f t="shared" ref="AC64" si="152">AB64+1</f>
        <v>26</v>
      </c>
      <c r="AD64" s="364">
        <f t="shared" ref="AD64" si="153">AC64+1</f>
        <v>27</v>
      </c>
      <c r="AE64" s="365">
        <f t="shared" ref="AE64" si="154">AD64+1</f>
        <v>28</v>
      </c>
      <c r="AF64" s="151">
        <f>AE64+1</f>
        <v>29</v>
      </c>
      <c r="AG64" s="365">
        <f t="shared" ref="AG64" si="155">AF64+1</f>
        <v>30</v>
      </c>
      <c r="AH64" s="364">
        <f t="shared" ref="AH64" si="156">AG64+1</f>
        <v>31</v>
      </c>
      <c r="AI64" s="364">
        <f>AH64+1</f>
        <v>32</v>
      </c>
      <c r="AJ64" s="38">
        <f>AI64+1</f>
        <v>33</v>
      </c>
      <c r="AK64" s="134">
        <f t="shared" ref="AK64" si="157">AJ64+1</f>
        <v>34</v>
      </c>
      <c r="AL64" s="134">
        <f t="shared" ref="AL64" si="158">AK64+1</f>
        <v>35</v>
      </c>
      <c r="AM64" s="38">
        <f t="shared" ref="AM64" si="159">AL64+1</f>
        <v>36</v>
      </c>
      <c r="AN64" s="359">
        <f>AM64+1</f>
        <v>37</v>
      </c>
      <c r="AO64" s="173">
        <f t="shared" ref="AO64" si="160">AN64+1</f>
        <v>38</v>
      </c>
      <c r="AP64" s="459"/>
      <c r="BC64" s="960"/>
    </row>
    <row r="65" spans="1:61" ht="133" customHeight="1">
      <c r="A65" s="799"/>
      <c r="C65" s="1068" t="s">
        <v>545</v>
      </c>
      <c r="D65" s="1026" t="s">
        <v>533</v>
      </c>
      <c r="E65" s="1025" t="s">
        <v>534</v>
      </c>
      <c r="F65" s="1025" t="s">
        <v>407</v>
      </c>
      <c r="G65" s="1025" t="s">
        <v>408</v>
      </c>
      <c r="H65" s="418" t="s">
        <v>409</v>
      </c>
      <c r="I65" s="820" t="s">
        <v>507</v>
      </c>
      <c r="J65" s="1026" t="s">
        <v>546</v>
      </c>
      <c r="K65" s="1025" t="s">
        <v>547</v>
      </c>
      <c r="L65" s="1025" t="s">
        <v>548</v>
      </c>
      <c r="M65" s="1025" t="s">
        <v>510</v>
      </c>
      <c r="N65" s="1025" t="s">
        <v>511</v>
      </c>
      <c r="O65" s="1025" t="s">
        <v>512</v>
      </c>
      <c r="P65" s="1025" t="s">
        <v>513</v>
      </c>
      <c r="Q65" s="1027" t="s">
        <v>418</v>
      </c>
      <c r="R65" s="488" t="s">
        <v>514</v>
      </c>
      <c r="S65" s="322" t="s">
        <v>448</v>
      </c>
      <c r="T65" s="1080" t="s">
        <v>549</v>
      </c>
      <c r="U65" s="1080" t="s">
        <v>550</v>
      </c>
      <c r="V65" s="1080" t="s">
        <v>551</v>
      </c>
      <c r="W65" s="1080" t="s">
        <v>551</v>
      </c>
      <c r="X65" s="1080" t="s">
        <v>540</v>
      </c>
      <c r="Y65" s="175" t="s">
        <v>425</v>
      </c>
      <c r="Z65" s="545" t="s">
        <v>520</v>
      </c>
      <c r="AA65" s="819" t="s">
        <v>427</v>
      </c>
      <c r="AB65" s="819" t="s">
        <v>428</v>
      </c>
      <c r="AC65" s="1087" t="s">
        <v>429</v>
      </c>
      <c r="AD65" s="819" t="s">
        <v>541</v>
      </c>
      <c r="AE65" s="819" t="s">
        <v>529</v>
      </c>
      <c r="AF65" s="154" t="s">
        <v>523</v>
      </c>
      <c r="AG65" s="568" t="s">
        <v>524</v>
      </c>
      <c r="AH65" s="1031" t="s">
        <v>434</v>
      </c>
      <c r="AI65" s="1054" t="s">
        <v>346</v>
      </c>
      <c r="AJ65" s="1055" t="s">
        <v>435</v>
      </c>
      <c r="AK65" s="1074" t="s">
        <v>0</v>
      </c>
      <c r="AL65" s="1056" t="s">
        <v>38</v>
      </c>
      <c r="AM65" s="819" t="s">
        <v>402</v>
      </c>
      <c r="AN65" s="820" t="s">
        <v>343</v>
      </c>
      <c r="AO65" s="202" t="s">
        <v>436</v>
      </c>
      <c r="AQ65" s="1068" t="s">
        <v>542</v>
      </c>
      <c r="AR65" s="418" t="s">
        <v>438</v>
      </c>
      <c r="AS65" s="418" t="s">
        <v>439</v>
      </c>
      <c r="AT65" s="361" t="s">
        <v>440</v>
      </c>
      <c r="AU65" s="861" t="s">
        <v>403</v>
      </c>
      <c r="AV65" s="861" t="s">
        <v>746</v>
      </c>
      <c r="BC65" s="978" t="s">
        <v>779</v>
      </c>
    </row>
    <row r="66" spans="1:61" s="742" customFormat="1" ht="16" customHeight="1">
      <c r="A66" s="799">
        <f>A58+1</f>
        <v>21</v>
      </c>
      <c r="B66" s="769">
        <f>B54+1</f>
        <v>17</v>
      </c>
      <c r="C66" s="1321" t="s">
        <v>889</v>
      </c>
      <c r="D66" s="1069">
        <v>130</v>
      </c>
      <c r="E66" s="1070">
        <f>2*D66</f>
        <v>260</v>
      </c>
      <c r="F66" s="1070">
        <f>2*150</f>
        <v>300</v>
      </c>
      <c r="G66" s="629">
        <f>F66*1.15</f>
        <v>345</v>
      </c>
      <c r="H66" s="550">
        <f>(E66*0.23)</f>
        <v>59.800000000000004</v>
      </c>
      <c r="I66" s="306">
        <f>0.5*(H66*1.1)</f>
        <v>32.890000000000008</v>
      </c>
      <c r="J66" s="714">
        <v>102</v>
      </c>
      <c r="K66" s="714">
        <v>15</v>
      </c>
      <c r="L66" s="714">
        <f>240-200</f>
        <v>40</v>
      </c>
      <c r="M66" s="1071" t="s">
        <v>112</v>
      </c>
      <c r="N66" s="1071" t="s">
        <v>112</v>
      </c>
      <c r="O66" s="1071" t="s">
        <v>112</v>
      </c>
      <c r="P66" s="1071" t="s">
        <v>112</v>
      </c>
      <c r="Q66" s="701">
        <f>SUM(J66:P66)</f>
        <v>157</v>
      </c>
      <c r="R66" s="303">
        <f>2*Q66</f>
        <v>314</v>
      </c>
      <c r="S66" s="340">
        <f>R66+(2*71)</f>
        <v>456</v>
      </c>
      <c r="T66" s="1081">
        <v>70</v>
      </c>
      <c r="U66" s="1081">
        <v>1</v>
      </c>
      <c r="V66" s="1082" t="s">
        <v>112</v>
      </c>
      <c r="W66" s="1082" t="s">
        <v>112</v>
      </c>
      <c r="X66" s="1083">
        <f>SUM(T66:W66)</f>
        <v>71</v>
      </c>
      <c r="Y66" s="510">
        <f>2*X66</f>
        <v>142</v>
      </c>
      <c r="Z66" s="517">
        <f>Y66+(23)</f>
        <v>165</v>
      </c>
      <c r="AA66" s="612">
        <f>Z66-H66</f>
        <v>105.19999999999999</v>
      </c>
      <c r="AB66" s="618">
        <f>Z66-I66</f>
        <v>132.10999999999999</v>
      </c>
      <c r="AC66" s="716">
        <v>171</v>
      </c>
      <c r="AD66" s="871">
        <f>33.89+(0.2095*AC66)</f>
        <v>69.714500000000001</v>
      </c>
      <c r="AE66" s="612">
        <f>X66-T66+AD66</f>
        <v>70.714500000000001</v>
      </c>
      <c r="AF66" s="240">
        <f>2*AE66</f>
        <v>141.429</v>
      </c>
      <c r="AG66" s="241">
        <f>AF66+(23)</f>
        <v>164.429</v>
      </c>
      <c r="AH66" s="618">
        <f>AG66-I66</f>
        <v>131.53899999999999</v>
      </c>
      <c r="AI66" s="1076" t="s">
        <v>1146</v>
      </c>
      <c r="AJ66" s="1071">
        <v>60</v>
      </c>
      <c r="AK66" s="1075">
        <f t="shared" ref="AK66" si="161">(2*AJ66)+(2*71)+(2*45)</f>
        <v>352</v>
      </c>
      <c r="AL66" s="1071">
        <f t="shared" ref="AL66" si="162">S66-AK66</f>
        <v>104</v>
      </c>
      <c r="AM66" s="612">
        <v>15</v>
      </c>
      <c r="AN66" s="235">
        <f>523+(1*23)+AM66</f>
        <v>561</v>
      </c>
      <c r="AO66" s="236">
        <f t="shared" ref="AO66" si="163">Z66-AN66</f>
        <v>-396</v>
      </c>
      <c r="AP66" s="741"/>
      <c r="AQ66" s="863" t="s">
        <v>753</v>
      </c>
      <c r="AR66" s="695">
        <f t="shared" ref="AR66" si="164">H66</f>
        <v>59.800000000000004</v>
      </c>
      <c r="AS66" s="695">
        <f t="shared" ref="AS66" si="165">Z66</f>
        <v>165</v>
      </c>
      <c r="AT66" s="695">
        <f t="shared" ref="AT66" si="166">AN66</f>
        <v>561</v>
      </c>
      <c r="AU66" s="774">
        <f t="shared" ref="AU66" si="167">S66-G66</f>
        <v>111</v>
      </c>
      <c r="AV66" s="775">
        <f t="shared" ref="AV66" si="168">AL66</f>
        <v>104</v>
      </c>
      <c r="BC66" s="963">
        <f>B66</f>
        <v>17</v>
      </c>
      <c r="BI66" s="1287">
        <v>1</v>
      </c>
    </row>
    <row r="67" spans="1:61" s="742" customFormat="1" ht="16" customHeight="1">
      <c r="A67" s="799">
        <f>A66+1</f>
        <v>22</v>
      </c>
      <c r="B67" s="769">
        <f>B66+1</f>
        <v>18</v>
      </c>
      <c r="C67" s="862" t="s">
        <v>890</v>
      </c>
      <c r="D67" s="1069">
        <v>105</v>
      </c>
      <c r="E67" s="1070">
        <f>2*D67</f>
        <v>210</v>
      </c>
      <c r="F67" s="1070">
        <f>2*132</f>
        <v>264</v>
      </c>
      <c r="G67" s="629">
        <f>F67*1.15</f>
        <v>303.59999999999997</v>
      </c>
      <c r="H67" s="550">
        <f>(E67*0.23)</f>
        <v>48.300000000000004</v>
      </c>
      <c r="I67" s="306">
        <f>0.5*(H67*1.1)</f>
        <v>26.565000000000005</v>
      </c>
      <c r="J67" s="714">
        <v>102</v>
      </c>
      <c r="K67" s="714">
        <v>15</v>
      </c>
      <c r="L67" s="714">
        <f>240-155</f>
        <v>85</v>
      </c>
      <c r="M67" s="1071" t="s">
        <v>112</v>
      </c>
      <c r="N67" s="1071" t="s">
        <v>112</v>
      </c>
      <c r="O67" s="1071" t="s">
        <v>112</v>
      </c>
      <c r="P67" s="1071" t="s">
        <v>112</v>
      </c>
      <c r="Q67" s="701">
        <f>SUM(J67:P67)</f>
        <v>202</v>
      </c>
      <c r="R67" s="303">
        <f>2*Q67</f>
        <v>404</v>
      </c>
      <c r="S67" s="340">
        <f>R67+(2*71)</f>
        <v>546</v>
      </c>
      <c r="T67" s="1081">
        <v>70</v>
      </c>
      <c r="U67" s="1081">
        <v>1</v>
      </c>
      <c r="V67" s="1082" t="s">
        <v>112</v>
      </c>
      <c r="W67" s="1082" t="s">
        <v>112</v>
      </c>
      <c r="X67" s="1083">
        <f>SUM(T67:W67)</f>
        <v>71</v>
      </c>
      <c r="Y67" s="510">
        <f>2*X67</f>
        <v>142</v>
      </c>
      <c r="Z67" s="517">
        <f>Y67+(23)</f>
        <v>165</v>
      </c>
      <c r="AA67" s="612">
        <f>Z67-H67</f>
        <v>116.69999999999999</v>
      </c>
      <c r="AB67" s="618">
        <f>Z67-I67</f>
        <v>138.435</v>
      </c>
      <c r="AC67" s="716">
        <v>171</v>
      </c>
      <c r="AD67" s="871">
        <f>33.89+(0.2095*AC67)</f>
        <v>69.714500000000001</v>
      </c>
      <c r="AE67" s="612">
        <f>X67-T67+AD67</f>
        <v>70.714500000000001</v>
      </c>
      <c r="AF67" s="240">
        <f>2*AE67</f>
        <v>141.429</v>
      </c>
      <c r="AG67" s="241">
        <f>AF67+(23)</f>
        <v>164.429</v>
      </c>
      <c r="AH67" s="618">
        <f>AG67-I67</f>
        <v>137.864</v>
      </c>
      <c r="AI67" s="952" t="s">
        <v>352</v>
      </c>
      <c r="AJ67" s="1071">
        <v>53</v>
      </c>
      <c r="AK67" s="1075">
        <f t="shared" ref="AK67" si="169">(2*AJ67)+(2*71)+(2*45)</f>
        <v>338</v>
      </c>
      <c r="AL67" s="1071">
        <f t="shared" ref="AL67" si="170">S67-AK67</f>
        <v>208</v>
      </c>
      <c r="AM67" s="612">
        <v>31</v>
      </c>
      <c r="AN67" s="235">
        <f>189+(1*23)+AM67</f>
        <v>243</v>
      </c>
      <c r="AO67" s="236">
        <f t="shared" ref="AO67" si="171">Z67-AN67</f>
        <v>-78</v>
      </c>
      <c r="AP67" s="741"/>
      <c r="AQ67" s="862" t="s">
        <v>754</v>
      </c>
      <c r="AR67" s="695">
        <f t="shared" ref="AR67:AR70" si="172">H67</f>
        <v>48.300000000000004</v>
      </c>
      <c r="AS67" s="695">
        <f t="shared" ref="AS67:AS70" si="173">Z67</f>
        <v>165</v>
      </c>
      <c r="AT67" s="695">
        <f t="shared" ref="AT67:AT70" si="174">AN67</f>
        <v>243</v>
      </c>
      <c r="AU67" s="774">
        <f t="shared" ref="AU67:AU70" si="175">S67-G67</f>
        <v>242.40000000000003</v>
      </c>
      <c r="AV67" s="775">
        <f t="shared" ref="AV67:AV70" si="176">AL67</f>
        <v>208</v>
      </c>
      <c r="BC67" s="963">
        <f t="shared" ref="BC67:BC70" si="177">B67</f>
        <v>18</v>
      </c>
      <c r="BI67" s="1287">
        <v>1</v>
      </c>
    </row>
    <row r="68" spans="1:61" s="742" customFormat="1" ht="16" customHeight="1">
      <c r="A68" s="799">
        <f t="shared" ref="A68:A70" si="178">A67+1</f>
        <v>23</v>
      </c>
      <c r="B68" s="769">
        <f t="shared" ref="B68:B70" si="179">B67+1</f>
        <v>19</v>
      </c>
      <c r="C68" s="863" t="s">
        <v>297</v>
      </c>
      <c r="D68" s="1069">
        <v>81</v>
      </c>
      <c r="E68" s="1070">
        <f>2*D68</f>
        <v>162</v>
      </c>
      <c r="F68" s="1070">
        <f>2*94</f>
        <v>188</v>
      </c>
      <c r="G68" s="629">
        <f t="shared" ref="G68" si="180">F68*1.15</f>
        <v>216.2</v>
      </c>
      <c r="H68" s="550">
        <f>(E68*0.23)</f>
        <v>37.260000000000005</v>
      </c>
      <c r="I68" s="306">
        <f>0.5*(H68*1.1)</f>
        <v>20.493000000000006</v>
      </c>
      <c r="J68" s="714">
        <f>102-44</f>
        <v>58</v>
      </c>
      <c r="K68" s="714">
        <v>15</v>
      </c>
      <c r="L68" s="714">
        <f>240-60</f>
        <v>180</v>
      </c>
      <c r="M68" s="1071" t="s">
        <v>112</v>
      </c>
      <c r="N68" s="1071" t="s">
        <v>112</v>
      </c>
      <c r="O68" s="1071" t="s">
        <v>112</v>
      </c>
      <c r="P68" s="1071" t="s">
        <v>112</v>
      </c>
      <c r="Q68" s="701">
        <f>SUM(J68:P68)</f>
        <v>253</v>
      </c>
      <c r="R68" s="303">
        <f t="shared" ref="R68" si="181">2*Q68</f>
        <v>506</v>
      </c>
      <c r="S68" s="340">
        <f t="shared" ref="S68" si="182">R68+(2*71)</f>
        <v>648</v>
      </c>
      <c r="T68" s="1081">
        <v>62</v>
      </c>
      <c r="U68" s="1081">
        <v>1</v>
      </c>
      <c r="V68" s="1082" t="s">
        <v>112</v>
      </c>
      <c r="W68" s="1082" t="s">
        <v>112</v>
      </c>
      <c r="X68" s="1083">
        <f>SUM(T68:W68)</f>
        <v>63</v>
      </c>
      <c r="Y68" s="510">
        <f t="shared" ref="Y68" si="183">2*X68</f>
        <v>126</v>
      </c>
      <c r="Z68" s="517">
        <f t="shared" ref="Z68" si="184">Y68+(23)</f>
        <v>149</v>
      </c>
      <c r="AA68" s="612">
        <f>Z68-H68</f>
        <v>111.74</v>
      </c>
      <c r="AB68" s="618">
        <f>Z68-I68</f>
        <v>128.50700000000001</v>
      </c>
      <c r="AC68" s="716">
        <f>171-48</f>
        <v>123</v>
      </c>
      <c r="AD68" s="871">
        <f>33.89+(0.2095*AC68)</f>
        <v>59.658500000000004</v>
      </c>
      <c r="AE68" s="612">
        <f>X68-T68+AD68</f>
        <v>60.658500000000004</v>
      </c>
      <c r="AF68" s="240">
        <f t="shared" ref="AF68" si="185">2*AE68</f>
        <v>121.31700000000001</v>
      </c>
      <c r="AG68" s="241">
        <f t="shared" ref="AG68" si="186">AF68+(23)</f>
        <v>144.31700000000001</v>
      </c>
      <c r="AH68" s="618">
        <f>AG68-I68</f>
        <v>123.824</v>
      </c>
      <c r="AI68" s="948" t="s">
        <v>353</v>
      </c>
      <c r="AJ68" s="1088">
        <v>300</v>
      </c>
      <c r="AK68" s="1089">
        <f>(2*AJ68)+(2*71)+(2*45)</f>
        <v>832</v>
      </c>
      <c r="AL68" s="1089">
        <f>S68-AK68</f>
        <v>-184</v>
      </c>
      <c r="AM68" s="611">
        <v>15</v>
      </c>
      <c r="AN68" s="235">
        <f>308+(23)+AM68</f>
        <v>346</v>
      </c>
      <c r="AO68" s="236">
        <f>Z68-AN68</f>
        <v>-197</v>
      </c>
      <c r="AP68" s="741"/>
      <c r="AQ68" s="863" t="s">
        <v>299</v>
      </c>
      <c r="AR68" s="695">
        <f t="shared" si="172"/>
        <v>37.260000000000005</v>
      </c>
      <c r="AS68" s="695">
        <f t="shared" si="173"/>
        <v>149</v>
      </c>
      <c r="AT68" s="695">
        <f t="shared" si="174"/>
        <v>346</v>
      </c>
      <c r="AU68" s="774">
        <f t="shared" si="175"/>
        <v>431.8</v>
      </c>
      <c r="AV68" s="775">
        <f t="shared" si="176"/>
        <v>-184</v>
      </c>
      <c r="BC68" s="963">
        <f t="shared" si="177"/>
        <v>19</v>
      </c>
      <c r="BI68" s="1287">
        <v>1</v>
      </c>
    </row>
    <row r="69" spans="1:61" s="742" customFormat="1" ht="16" customHeight="1">
      <c r="A69" s="799">
        <f t="shared" si="178"/>
        <v>24</v>
      </c>
      <c r="B69" s="769">
        <f t="shared" si="179"/>
        <v>20</v>
      </c>
      <c r="C69" s="864" t="s">
        <v>298</v>
      </c>
      <c r="D69" s="1069">
        <v>116</v>
      </c>
      <c r="E69" s="1070">
        <f t="shared" ref="E69" si="187">2*D69</f>
        <v>232</v>
      </c>
      <c r="F69" s="1070">
        <f>2*122</f>
        <v>244</v>
      </c>
      <c r="G69" s="629">
        <f t="shared" ref="G69" si="188">F69*1.15</f>
        <v>280.59999999999997</v>
      </c>
      <c r="H69" s="550">
        <f t="shared" ref="H69" si="189">(E69*0.23)</f>
        <v>53.36</v>
      </c>
      <c r="I69" s="306">
        <f t="shared" ref="I69" si="190">0.5*(H69*1.1)</f>
        <v>29.348000000000003</v>
      </c>
      <c r="J69" s="714">
        <f>102-44</f>
        <v>58</v>
      </c>
      <c r="K69" s="714">
        <v>15</v>
      </c>
      <c r="L69" s="714">
        <f>240-10</f>
        <v>230</v>
      </c>
      <c r="M69" s="1071" t="s">
        <v>112</v>
      </c>
      <c r="N69" s="1071" t="s">
        <v>112</v>
      </c>
      <c r="O69" s="1071" t="s">
        <v>112</v>
      </c>
      <c r="P69" s="1071" t="s">
        <v>112</v>
      </c>
      <c r="Q69" s="701">
        <f t="shared" ref="Q69" si="191">SUM(J69:P69)</f>
        <v>303</v>
      </c>
      <c r="R69" s="303">
        <f t="shared" ref="R69" si="192">2*Q69</f>
        <v>606</v>
      </c>
      <c r="S69" s="340">
        <f t="shared" ref="S69" si="193">R69+(2*71)</f>
        <v>748</v>
      </c>
      <c r="T69" s="1081">
        <v>62</v>
      </c>
      <c r="U69" s="1081">
        <v>1</v>
      </c>
      <c r="V69" s="1082" t="s">
        <v>112</v>
      </c>
      <c r="W69" s="1082" t="s">
        <v>112</v>
      </c>
      <c r="X69" s="1083">
        <f t="shared" ref="X69" si="194">SUM(T69:W69)</f>
        <v>63</v>
      </c>
      <c r="Y69" s="510">
        <f t="shared" ref="Y69" si="195">2*X69</f>
        <v>126</v>
      </c>
      <c r="Z69" s="517">
        <f t="shared" ref="Z69" si="196">Y69+(23)</f>
        <v>149</v>
      </c>
      <c r="AA69" s="612">
        <f t="shared" ref="AA69" si="197">Z69-H69</f>
        <v>95.64</v>
      </c>
      <c r="AB69" s="618">
        <f t="shared" ref="AB69" si="198">Z69-I69</f>
        <v>119.652</v>
      </c>
      <c r="AC69" s="716">
        <f>171-48</f>
        <v>123</v>
      </c>
      <c r="AD69" s="871">
        <f t="shared" ref="AD69" si="199">33.89+(0.2095*AC69)</f>
        <v>59.658500000000004</v>
      </c>
      <c r="AE69" s="612">
        <f t="shared" ref="AE69" si="200">X69-T69+AD69</f>
        <v>60.658500000000004</v>
      </c>
      <c r="AF69" s="240">
        <f t="shared" ref="AF69" si="201">2*AE69</f>
        <v>121.31700000000001</v>
      </c>
      <c r="AG69" s="241">
        <f t="shared" ref="AG69" si="202">AF69+(23)</f>
        <v>144.31700000000001</v>
      </c>
      <c r="AH69" s="618">
        <f t="shared" ref="AH69" si="203">AG69-I69</f>
        <v>114.96900000000001</v>
      </c>
      <c r="AI69" s="948" t="s">
        <v>353</v>
      </c>
      <c r="AJ69" s="1088">
        <v>300</v>
      </c>
      <c r="AK69" s="1089">
        <f>(2*AJ69)+(2*71)+(2*45)</f>
        <v>832</v>
      </c>
      <c r="AL69" s="1089">
        <f>S69-AK69</f>
        <v>-84</v>
      </c>
      <c r="AM69" s="611">
        <v>15</v>
      </c>
      <c r="AN69" s="235">
        <f>308+(23)+AM69</f>
        <v>346</v>
      </c>
      <c r="AO69" s="236">
        <f>Z69-AN69</f>
        <v>-197</v>
      </c>
      <c r="AP69" s="741"/>
      <c r="AQ69" s="864" t="s">
        <v>300</v>
      </c>
      <c r="AR69" s="695">
        <f t="shared" si="172"/>
        <v>53.36</v>
      </c>
      <c r="AS69" s="695">
        <f t="shared" si="173"/>
        <v>149</v>
      </c>
      <c r="AT69" s="695">
        <f t="shared" si="174"/>
        <v>346</v>
      </c>
      <c r="AU69" s="774">
        <f t="shared" si="175"/>
        <v>467.40000000000003</v>
      </c>
      <c r="AV69" s="775">
        <f t="shared" si="176"/>
        <v>-84</v>
      </c>
      <c r="BC69" s="963">
        <f t="shared" si="177"/>
        <v>20</v>
      </c>
      <c r="BI69" s="1287">
        <v>1</v>
      </c>
    </row>
    <row r="70" spans="1:61" s="742" customFormat="1" ht="16" customHeight="1">
      <c r="A70" s="799">
        <f t="shared" si="178"/>
        <v>25</v>
      </c>
      <c r="B70" s="769">
        <f t="shared" si="179"/>
        <v>21</v>
      </c>
      <c r="C70" s="862" t="s">
        <v>891</v>
      </c>
      <c r="D70" s="1069">
        <v>93</v>
      </c>
      <c r="E70" s="1070">
        <f>2*D70</f>
        <v>186</v>
      </c>
      <c r="F70" s="1070">
        <f>2*127</f>
        <v>254</v>
      </c>
      <c r="G70" s="629">
        <f>F70*1.15</f>
        <v>292.09999999999997</v>
      </c>
      <c r="H70" s="550">
        <f>(E70*0.23)</f>
        <v>42.78</v>
      </c>
      <c r="I70" s="306">
        <f>0.5*(H70*1.1)</f>
        <v>23.529000000000003</v>
      </c>
      <c r="J70" s="714">
        <v>102</v>
      </c>
      <c r="K70" s="714">
        <v>15</v>
      </c>
      <c r="L70" s="714">
        <f>240-120</f>
        <v>120</v>
      </c>
      <c r="M70" s="1071" t="s">
        <v>112</v>
      </c>
      <c r="N70" s="1071" t="s">
        <v>112</v>
      </c>
      <c r="O70" s="1071" t="s">
        <v>112</v>
      </c>
      <c r="P70" s="1071" t="s">
        <v>112</v>
      </c>
      <c r="Q70" s="701">
        <f>SUM(J70:P70)</f>
        <v>237</v>
      </c>
      <c r="R70" s="303">
        <f>2*Q70</f>
        <v>474</v>
      </c>
      <c r="S70" s="340">
        <f>R70+(2*71)</f>
        <v>616</v>
      </c>
      <c r="T70" s="1081">
        <v>70</v>
      </c>
      <c r="U70" s="1081">
        <v>1</v>
      </c>
      <c r="V70" s="1082" t="s">
        <v>112</v>
      </c>
      <c r="W70" s="1082" t="s">
        <v>112</v>
      </c>
      <c r="X70" s="1083">
        <f>SUM(T70:W70)</f>
        <v>71</v>
      </c>
      <c r="Y70" s="510">
        <f>2*X70</f>
        <v>142</v>
      </c>
      <c r="Z70" s="517">
        <f>Y70+(23)</f>
        <v>165</v>
      </c>
      <c r="AA70" s="612">
        <f>Z70-H70</f>
        <v>122.22</v>
      </c>
      <c r="AB70" s="618">
        <f>Z70-I70</f>
        <v>141.471</v>
      </c>
      <c r="AC70" s="716">
        <v>171</v>
      </c>
      <c r="AD70" s="871">
        <f>33.89+(0.2095*AC70)</f>
        <v>69.714500000000001</v>
      </c>
      <c r="AE70" s="612">
        <f>X70-T70+AD70</f>
        <v>70.714500000000001</v>
      </c>
      <c r="AF70" s="240">
        <f>2*AE70</f>
        <v>141.429</v>
      </c>
      <c r="AG70" s="241">
        <f>AF70+(23)</f>
        <v>164.429</v>
      </c>
      <c r="AH70" s="618">
        <f>AG70-I70</f>
        <v>140.9</v>
      </c>
      <c r="AI70" s="948" t="s">
        <v>352</v>
      </c>
      <c r="AJ70" s="1088">
        <v>53</v>
      </c>
      <c r="AK70" s="1089">
        <f>(2*AJ70)+(2*71)+(2*45)</f>
        <v>338</v>
      </c>
      <c r="AL70" s="1089">
        <f>S70-AK70</f>
        <v>278</v>
      </c>
      <c r="AM70" s="611">
        <v>31</v>
      </c>
      <c r="AN70" s="235">
        <f>189+(23)+AM70</f>
        <v>243</v>
      </c>
      <c r="AO70" s="236">
        <f>Z70-AN70</f>
        <v>-78</v>
      </c>
      <c r="AP70" s="741"/>
      <c r="AQ70" s="862" t="s">
        <v>755</v>
      </c>
      <c r="AR70" s="695">
        <f t="shared" si="172"/>
        <v>42.78</v>
      </c>
      <c r="AS70" s="695">
        <f t="shared" si="173"/>
        <v>165</v>
      </c>
      <c r="AT70" s="695">
        <f t="shared" si="174"/>
        <v>243</v>
      </c>
      <c r="AU70" s="774">
        <f t="shared" si="175"/>
        <v>323.90000000000003</v>
      </c>
      <c r="AV70" s="775">
        <f t="shared" si="176"/>
        <v>278</v>
      </c>
      <c r="BC70" s="963">
        <f t="shared" si="177"/>
        <v>21</v>
      </c>
      <c r="BI70" s="1287">
        <v>1</v>
      </c>
    </row>
    <row r="71" spans="1:61" ht="325" customHeight="1">
      <c r="A71" s="799"/>
      <c r="C71" s="1042" t="s">
        <v>544</v>
      </c>
      <c r="D71" s="1427" t="s">
        <v>854</v>
      </c>
      <c r="E71" s="1365"/>
      <c r="F71" s="872" t="s">
        <v>859</v>
      </c>
      <c r="G71" s="1010" t="s">
        <v>857</v>
      </c>
      <c r="H71" s="1046" t="s">
        <v>190</v>
      </c>
      <c r="I71" s="844"/>
      <c r="J71" s="1062" t="s">
        <v>201</v>
      </c>
      <c r="K71" s="1063" t="s">
        <v>860</v>
      </c>
      <c r="L71" s="1063" t="s">
        <v>296</v>
      </c>
      <c r="M71" s="843"/>
      <c r="N71" s="843"/>
      <c r="O71" s="849"/>
      <c r="P71" s="849"/>
      <c r="Q71" s="849"/>
      <c r="R71" s="333"/>
      <c r="S71" s="1004" t="s">
        <v>1161</v>
      </c>
      <c r="T71" s="866" t="s">
        <v>197</v>
      </c>
      <c r="U71" s="1084" t="s">
        <v>866</v>
      </c>
      <c r="V71" s="174"/>
      <c r="W71" s="174"/>
      <c r="X71" s="40"/>
      <c r="Y71" s="96"/>
      <c r="Z71" s="1034" t="s">
        <v>1170</v>
      </c>
      <c r="AA71" s="370"/>
      <c r="AB71" s="1036" t="s">
        <v>220</v>
      </c>
      <c r="AC71" s="1085" t="s">
        <v>858</v>
      </c>
      <c r="AD71" s="1086" t="s">
        <v>127</v>
      </c>
      <c r="AE71" s="442"/>
      <c r="AF71" s="214"/>
      <c r="AG71" s="1034" t="s">
        <v>1170</v>
      </c>
      <c r="AH71" s="363"/>
      <c r="AI71" s="1077"/>
      <c r="AJ71" s="1078" t="s">
        <v>1153</v>
      </c>
      <c r="AK71" s="1090" t="s">
        <v>1</v>
      </c>
      <c r="AL71" s="1079"/>
      <c r="AM71" s="36"/>
      <c r="AN71" s="752" t="s">
        <v>861</v>
      </c>
      <c r="AO71" s="174"/>
      <c r="AQ71" s="1044" t="s">
        <v>867</v>
      </c>
    </row>
    <row r="72" spans="1:61" s="12" customFormat="1">
      <c r="A72" s="799"/>
      <c r="B72" s="124"/>
      <c r="C72" s="10"/>
      <c r="D72" s="10"/>
      <c r="E72" s="135"/>
      <c r="F72" s="575"/>
      <c r="G72" s="135"/>
      <c r="H72" s="136"/>
      <c r="I72" s="740"/>
      <c r="J72" s="740"/>
      <c r="K72" s="788"/>
      <c r="L72" s="740"/>
      <c r="M72" s="740"/>
      <c r="N72" s="740"/>
      <c r="O72" s="740"/>
      <c r="P72" s="740"/>
      <c r="Q72" s="740"/>
      <c r="R72" s="126"/>
      <c r="S72" s="740"/>
      <c r="T72" s="740"/>
      <c r="U72" s="740"/>
      <c r="V72" s="740"/>
      <c r="W72" s="740"/>
      <c r="X72" s="740"/>
      <c r="Y72" s="28"/>
      <c r="Z72" s="28"/>
      <c r="AA72" s="70"/>
      <c r="AB72" s="81"/>
      <c r="AC72" s="740"/>
      <c r="AD72" s="740"/>
      <c r="AE72" s="740"/>
      <c r="AF72" s="28"/>
      <c r="AG72" s="28"/>
      <c r="AH72" s="137"/>
      <c r="AI72" s="137"/>
      <c r="AJ72" s="138"/>
      <c r="AK72" s="127"/>
      <c r="AL72" s="28"/>
      <c r="AM72" s="28"/>
      <c r="AN72" s="739"/>
      <c r="AO72" s="739"/>
      <c r="AP72" s="446"/>
      <c r="AV72" s="508" t="s">
        <v>82</v>
      </c>
      <c r="BC72" s="166"/>
    </row>
    <row r="73" spans="1:61" s="12" customFormat="1">
      <c r="A73" s="799"/>
      <c r="B73" s="124"/>
      <c r="C73" s="10"/>
      <c r="D73" s="10"/>
      <c r="E73" s="135"/>
      <c r="F73" s="575"/>
      <c r="G73" s="135"/>
      <c r="H73" s="136"/>
      <c r="I73" s="693"/>
      <c r="J73" s="693"/>
      <c r="K73" s="788"/>
      <c r="L73" s="693"/>
      <c r="M73" s="693"/>
      <c r="N73" s="693"/>
      <c r="O73" s="693"/>
      <c r="P73" s="693"/>
      <c r="Q73" s="693"/>
      <c r="R73" s="126"/>
      <c r="S73" s="693"/>
      <c r="T73" s="693"/>
      <c r="U73" s="693"/>
      <c r="V73" s="693"/>
      <c r="W73" s="693"/>
      <c r="X73" s="693"/>
      <c r="Y73" s="28"/>
      <c r="Z73" s="28"/>
      <c r="AA73" s="70"/>
      <c r="AB73" s="81"/>
      <c r="AC73" s="693"/>
      <c r="AD73" s="693"/>
      <c r="AE73" s="693"/>
      <c r="AF73" s="28"/>
      <c r="AG73" s="28"/>
      <c r="AH73" s="137"/>
      <c r="AI73" s="137"/>
      <c r="AJ73" s="138"/>
      <c r="AK73" s="127"/>
      <c r="AL73" s="28"/>
      <c r="AM73" s="28"/>
      <c r="AN73" s="61"/>
      <c r="AO73" s="61"/>
      <c r="AP73" s="446"/>
      <c r="BC73" s="166"/>
    </row>
    <row r="74" spans="1:61" ht="15" customHeight="1">
      <c r="A74" s="799"/>
      <c r="B74" s="354" t="s">
        <v>34</v>
      </c>
      <c r="C74" s="1422" t="s">
        <v>503</v>
      </c>
      <c r="D74" s="1422"/>
      <c r="E74" s="1422"/>
      <c r="F74" s="1422"/>
      <c r="G74" s="1422"/>
      <c r="H74" s="1422"/>
      <c r="I74" s="1422"/>
      <c r="J74" s="1422"/>
      <c r="K74" s="1422"/>
      <c r="L74" s="1422"/>
      <c r="M74" s="1422"/>
      <c r="N74" s="1422"/>
      <c r="O74" s="1422"/>
      <c r="P74" s="1422"/>
      <c r="Q74" s="1422"/>
      <c r="R74" s="1422"/>
      <c r="S74" s="1422"/>
      <c r="T74" s="1423"/>
      <c r="U74" s="1423"/>
      <c r="V74" s="1423"/>
      <c r="W74" s="1423"/>
      <c r="X74" s="1423"/>
      <c r="Y74" s="1423"/>
      <c r="Z74" s="1423"/>
      <c r="AA74" s="1423"/>
      <c r="AB74" s="1423"/>
      <c r="AC74" s="1423"/>
      <c r="AD74" s="1423"/>
      <c r="AE74" s="1423"/>
      <c r="AF74" s="1438"/>
      <c r="AG74" s="1438"/>
      <c r="AH74" s="1438"/>
      <c r="AI74" s="1438"/>
      <c r="AJ74" s="1438"/>
      <c r="AK74" s="1438"/>
      <c r="AL74" s="1438"/>
      <c r="AM74" s="818"/>
      <c r="AN74" s="61"/>
      <c r="AO74" s="61"/>
    </row>
    <row r="75" spans="1:61" s="1122" customFormat="1" ht="30" customHeight="1">
      <c r="A75" s="1115"/>
      <c r="B75" s="1116"/>
      <c r="C75" s="1117" t="s">
        <v>116</v>
      </c>
      <c r="D75" s="1424" t="s">
        <v>39</v>
      </c>
      <c r="E75" s="1425"/>
      <c r="F75" s="1425"/>
      <c r="G75" s="1425"/>
      <c r="H75" s="1425"/>
      <c r="I75" s="1426"/>
      <c r="J75" s="1443" t="s">
        <v>104</v>
      </c>
      <c r="K75" s="1444"/>
      <c r="L75" s="1444"/>
      <c r="M75" s="1444"/>
      <c r="N75" s="1444"/>
      <c r="O75" s="1444"/>
      <c r="P75" s="1444"/>
      <c r="Q75" s="1444"/>
      <c r="R75" s="1432" t="s">
        <v>22</v>
      </c>
      <c r="S75" s="1433"/>
      <c r="T75" s="1409" t="s">
        <v>136</v>
      </c>
      <c r="U75" s="1410"/>
      <c r="V75" s="1410"/>
      <c r="W75" s="1410"/>
      <c r="X75" s="1410"/>
      <c r="Y75" s="1411" t="s">
        <v>126</v>
      </c>
      <c r="Z75" s="1412"/>
      <c r="AA75" s="1124"/>
      <c r="AB75" s="1118"/>
      <c r="AC75" s="1413" t="s">
        <v>101</v>
      </c>
      <c r="AD75" s="1414"/>
      <c r="AE75" s="1414"/>
      <c r="AF75" s="1415" t="s">
        <v>23</v>
      </c>
      <c r="AG75" s="1416"/>
      <c r="AH75" s="1119"/>
      <c r="AI75" s="1434" t="s">
        <v>25</v>
      </c>
      <c r="AJ75" s="1435"/>
      <c r="AK75" s="1435"/>
      <c r="AL75" s="1435"/>
      <c r="AM75" s="1435"/>
      <c r="AN75" s="1436"/>
      <c r="AO75" s="1120"/>
      <c r="AP75" s="1125"/>
      <c r="AV75" s="1317" t="s">
        <v>82</v>
      </c>
      <c r="BC75" s="1123"/>
    </row>
    <row r="76" spans="1:61" ht="15" customHeight="1">
      <c r="A76" s="799"/>
      <c r="C76" s="507"/>
      <c r="D76" s="173">
        <v>1</v>
      </c>
      <c r="E76" s="134">
        <f t="shared" ref="E76:W76" si="204">D76+1</f>
        <v>2</v>
      </c>
      <c r="F76" s="574">
        <f t="shared" si="204"/>
        <v>3</v>
      </c>
      <c r="G76" s="134">
        <f t="shared" si="204"/>
        <v>4</v>
      </c>
      <c r="H76" s="134">
        <f t="shared" si="204"/>
        <v>5</v>
      </c>
      <c r="I76" s="134">
        <f t="shared" si="204"/>
        <v>6</v>
      </c>
      <c r="J76" s="173">
        <f t="shared" si="204"/>
        <v>7</v>
      </c>
      <c r="K76" s="364">
        <f t="shared" si="204"/>
        <v>8</v>
      </c>
      <c r="L76" s="134">
        <f t="shared" si="204"/>
        <v>9</v>
      </c>
      <c r="M76" s="134">
        <f t="shared" si="204"/>
        <v>10</v>
      </c>
      <c r="N76" s="134">
        <f t="shared" si="204"/>
        <v>11</v>
      </c>
      <c r="O76" s="134">
        <f t="shared" si="204"/>
        <v>12</v>
      </c>
      <c r="P76" s="134">
        <f t="shared" si="204"/>
        <v>13</v>
      </c>
      <c r="Q76" s="134">
        <f t="shared" si="204"/>
        <v>14</v>
      </c>
      <c r="R76" s="151">
        <f t="shared" si="204"/>
        <v>15</v>
      </c>
      <c r="S76" s="133">
        <f t="shared" si="204"/>
        <v>16</v>
      </c>
      <c r="T76" s="8">
        <f t="shared" si="204"/>
        <v>17</v>
      </c>
      <c r="U76" s="8">
        <f t="shared" si="204"/>
        <v>18</v>
      </c>
      <c r="V76" s="8">
        <f t="shared" si="204"/>
        <v>19</v>
      </c>
      <c r="W76" s="8">
        <f t="shared" si="204"/>
        <v>20</v>
      </c>
      <c r="X76" s="8">
        <f t="shared" ref="X76:AC76" si="205">W76+1</f>
        <v>21</v>
      </c>
      <c r="Y76" s="151">
        <f t="shared" si="205"/>
        <v>22</v>
      </c>
      <c r="Z76" s="365">
        <f t="shared" si="205"/>
        <v>23</v>
      </c>
      <c r="AA76" s="173">
        <f t="shared" si="205"/>
        <v>24</v>
      </c>
      <c r="AB76" s="134">
        <f t="shared" si="205"/>
        <v>25</v>
      </c>
      <c r="AC76" s="151">
        <f t="shared" si="205"/>
        <v>26</v>
      </c>
      <c r="AD76" s="364">
        <f t="shared" ref="AD76:AO76" si="206">AC76+1</f>
        <v>27</v>
      </c>
      <c r="AE76" s="365">
        <f t="shared" si="206"/>
        <v>28</v>
      </c>
      <c r="AF76" s="151">
        <f t="shared" si="206"/>
        <v>29</v>
      </c>
      <c r="AG76" s="365">
        <f t="shared" si="206"/>
        <v>30</v>
      </c>
      <c r="AH76" s="364">
        <f t="shared" si="206"/>
        <v>31</v>
      </c>
      <c r="AI76" s="364">
        <f>AH76+1</f>
        <v>32</v>
      </c>
      <c r="AJ76" s="38">
        <f>AI76+1</f>
        <v>33</v>
      </c>
      <c r="AK76" s="134">
        <f t="shared" si="206"/>
        <v>34</v>
      </c>
      <c r="AL76" s="134">
        <f t="shared" si="206"/>
        <v>35</v>
      </c>
      <c r="AM76" s="38">
        <f t="shared" ref="AM76" si="207">AL76+1</f>
        <v>36</v>
      </c>
      <c r="AN76" s="359">
        <f>AM76+1</f>
        <v>37</v>
      </c>
      <c r="AO76" s="173">
        <f t="shared" si="206"/>
        <v>38</v>
      </c>
      <c r="AP76" s="459"/>
    </row>
    <row r="77" spans="1:61" ht="120" customHeight="1">
      <c r="A77" s="799"/>
      <c r="B77" s="461"/>
      <c r="C77" s="1091" t="s">
        <v>862</v>
      </c>
      <c r="D77" s="1023" t="s">
        <v>533</v>
      </c>
      <c r="E77" s="1024" t="s">
        <v>534</v>
      </c>
      <c r="F77" s="1024" t="s">
        <v>407</v>
      </c>
      <c r="G77" s="1025" t="s">
        <v>408</v>
      </c>
      <c r="H77" s="418" t="s">
        <v>409</v>
      </c>
      <c r="I77" s="820" t="s">
        <v>507</v>
      </c>
      <c r="J77" s="1026" t="s">
        <v>552</v>
      </c>
      <c r="K77" s="1025" t="s">
        <v>553</v>
      </c>
      <c r="L77" s="1025" t="s">
        <v>554</v>
      </c>
      <c r="M77" s="1025" t="s">
        <v>555</v>
      </c>
      <c r="N77" s="1025" t="s">
        <v>511</v>
      </c>
      <c r="O77" s="1025" t="s">
        <v>512</v>
      </c>
      <c r="P77" s="1025" t="s">
        <v>513</v>
      </c>
      <c r="Q77" s="1027" t="s">
        <v>418</v>
      </c>
      <c r="R77" s="488" t="s">
        <v>514</v>
      </c>
      <c r="S77" s="322" t="s">
        <v>448</v>
      </c>
      <c r="T77" s="819" t="s">
        <v>556</v>
      </c>
      <c r="U77" s="819" t="s">
        <v>557</v>
      </c>
      <c r="V77" s="819" t="s">
        <v>558</v>
      </c>
      <c r="W77" s="819" t="s">
        <v>559</v>
      </c>
      <c r="X77" s="819" t="s">
        <v>540</v>
      </c>
      <c r="Y77" s="175" t="s">
        <v>425</v>
      </c>
      <c r="Z77" s="545" t="s">
        <v>520</v>
      </c>
      <c r="AA77" s="819" t="s">
        <v>427</v>
      </c>
      <c r="AB77" s="819" t="s">
        <v>428</v>
      </c>
      <c r="AC77" s="1026" t="s">
        <v>429</v>
      </c>
      <c r="AD77" s="819" t="s">
        <v>541</v>
      </c>
      <c r="AE77" s="819" t="s">
        <v>529</v>
      </c>
      <c r="AF77" s="154" t="s">
        <v>523</v>
      </c>
      <c r="AG77" s="568" t="s">
        <v>524</v>
      </c>
      <c r="AH77" s="1031" t="s">
        <v>434</v>
      </c>
      <c r="AI77" s="1025" t="s">
        <v>346</v>
      </c>
      <c r="AJ77" s="1032" t="s">
        <v>435</v>
      </c>
      <c r="AK77" s="1111" t="s">
        <v>0</v>
      </c>
      <c r="AL77" s="1024" t="s">
        <v>38</v>
      </c>
      <c r="AM77" s="819" t="s">
        <v>402</v>
      </c>
      <c r="AN77" s="820" t="s">
        <v>343</v>
      </c>
      <c r="AO77" s="226" t="s">
        <v>436</v>
      </c>
      <c r="AQ77" s="1091" t="s">
        <v>868</v>
      </c>
      <c r="AR77" s="418" t="s">
        <v>438</v>
      </c>
      <c r="AS77" s="418" t="s">
        <v>439</v>
      </c>
      <c r="AT77" s="361" t="s">
        <v>440</v>
      </c>
      <c r="AU77" s="861" t="s">
        <v>403</v>
      </c>
      <c r="AV77" s="861" t="s">
        <v>746</v>
      </c>
      <c r="BC77" s="978" t="s">
        <v>779</v>
      </c>
    </row>
    <row r="78" spans="1:61" ht="14" customHeight="1">
      <c r="A78" s="799">
        <f>A70+1</f>
        <v>26</v>
      </c>
      <c r="B78" s="764">
        <f>B58+1</f>
        <v>5</v>
      </c>
      <c r="C78" s="273" t="s">
        <v>128</v>
      </c>
      <c r="D78" s="1092">
        <v>176</v>
      </c>
      <c r="E78" s="877">
        <f>2*D78</f>
        <v>352</v>
      </c>
      <c r="F78" s="1093">
        <f>(2*164)</f>
        <v>328</v>
      </c>
      <c r="G78" s="629">
        <f t="shared" ref="G78" si="208">F78*1.15</f>
        <v>377.2</v>
      </c>
      <c r="H78" s="236">
        <f t="shared" ref="H78" si="209">(E78*0.23)</f>
        <v>80.960000000000008</v>
      </c>
      <c r="I78" s="235">
        <f t="shared" ref="I78" si="210">0.5*(H78*1.1)</f>
        <v>44.528000000000006</v>
      </c>
      <c r="J78" s="874">
        <f>147-44</f>
        <v>103</v>
      </c>
      <c r="K78" s="877" t="s">
        <v>112</v>
      </c>
      <c r="L78" s="877" t="s">
        <v>112</v>
      </c>
      <c r="M78" s="877" t="s">
        <v>112</v>
      </c>
      <c r="N78" s="877" t="s">
        <v>112</v>
      </c>
      <c r="O78" s="877" t="s">
        <v>112</v>
      </c>
      <c r="P78" s="877" t="s">
        <v>112</v>
      </c>
      <c r="Q78" s="1061">
        <f t="shared" ref="Q78" si="211">SUM(J78:P78)</f>
        <v>103</v>
      </c>
      <c r="R78" s="303">
        <f t="shared" ref="R78" si="212">2*Q78</f>
        <v>206</v>
      </c>
      <c r="S78" s="340">
        <f t="shared" ref="S78" si="213">R78+(2*71)</f>
        <v>348</v>
      </c>
      <c r="T78" s="632" t="s">
        <v>112</v>
      </c>
      <c r="U78" s="608">
        <v>71</v>
      </c>
      <c r="V78" s="632" t="s">
        <v>112</v>
      </c>
      <c r="W78" s="632" t="s">
        <v>112</v>
      </c>
      <c r="X78" s="612">
        <f t="shared" ref="X78" si="214">SUM(T78:W78)</f>
        <v>71</v>
      </c>
      <c r="Y78" s="510">
        <f t="shared" ref="Y78" si="215">2*X78</f>
        <v>142</v>
      </c>
      <c r="Z78" s="517">
        <f t="shared" ref="Z78" si="216">Y78+(23)</f>
        <v>165</v>
      </c>
      <c r="AA78" s="612">
        <f t="shared" ref="AA78" si="217">Z78-H78</f>
        <v>84.039999999999992</v>
      </c>
      <c r="AB78" s="618">
        <f t="shared" ref="AB78" si="218">Z78-I78</f>
        <v>120.47199999999999</v>
      </c>
      <c r="AC78" s="630">
        <f>232-48</f>
        <v>184</v>
      </c>
      <c r="AD78" s="871">
        <f t="shared" ref="AD78:AD83" si="219">33.89+(0.2095*AC78)</f>
        <v>72.438000000000002</v>
      </c>
      <c r="AE78" s="612">
        <f t="shared" ref="AE78:AE83" si="220">X78-U78+AD78</f>
        <v>72.438000000000002</v>
      </c>
      <c r="AF78" s="240">
        <f t="shared" ref="AF78" si="221">2*AE78</f>
        <v>144.876</v>
      </c>
      <c r="AG78" s="241">
        <f t="shared" ref="AG78" si="222">AF78+(23)</f>
        <v>167.876</v>
      </c>
      <c r="AH78" s="625">
        <f t="shared" ref="AH78" si="223">AG78-I78</f>
        <v>123.348</v>
      </c>
      <c r="AI78" s="1076" t="s">
        <v>354</v>
      </c>
      <c r="AJ78" s="875">
        <v>255</v>
      </c>
      <c r="AK78" s="1060">
        <f t="shared" ref="AK78" si="224">(2*AJ78)+(2*71)+(2*45)</f>
        <v>742</v>
      </c>
      <c r="AL78" s="877">
        <f t="shared" ref="AL78" si="225">S78-AK78</f>
        <v>-394</v>
      </c>
      <c r="AM78" s="612">
        <v>15</v>
      </c>
      <c r="AN78" s="235">
        <f>466+(1*23)+AM78</f>
        <v>504</v>
      </c>
      <c r="AO78" s="236">
        <f t="shared" ref="AO78" si="226">Z78-AN78</f>
        <v>-339</v>
      </c>
      <c r="AP78" s="453"/>
      <c r="AQ78" s="304" t="s">
        <v>124</v>
      </c>
      <c r="AR78" s="695">
        <f>H78</f>
        <v>80.960000000000008</v>
      </c>
      <c r="AS78" s="695">
        <f>Z78</f>
        <v>165</v>
      </c>
      <c r="AT78" s="695">
        <f>AN78</f>
        <v>504</v>
      </c>
      <c r="AU78" s="696">
        <f>S78-G78</f>
        <v>-29.199999999999989</v>
      </c>
      <c r="AV78" s="698">
        <f>AL78</f>
        <v>-394</v>
      </c>
      <c r="BC78" s="961">
        <f>B78</f>
        <v>5</v>
      </c>
      <c r="BH78" s="1287">
        <v>1</v>
      </c>
    </row>
    <row r="79" spans="1:61" s="242" customFormat="1" ht="15" customHeight="1">
      <c r="A79" s="795">
        <f>A78+1</f>
        <v>27</v>
      </c>
      <c r="B79" s="771">
        <f>B70+1</f>
        <v>22</v>
      </c>
      <c r="C79" s="273" t="s">
        <v>892</v>
      </c>
      <c r="D79" s="1092">
        <v>186</v>
      </c>
      <c r="E79" s="1093">
        <f>(2*D79)</f>
        <v>372</v>
      </c>
      <c r="F79" s="1093">
        <f>(2*163)</f>
        <v>326</v>
      </c>
      <c r="G79" s="629">
        <f t="shared" ref="G79" si="227">F79*1.15</f>
        <v>374.9</v>
      </c>
      <c r="H79" s="236">
        <f t="shared" ref="H79" si="228">(E79*0.23)</f>
        <v>85.56</v>
      </c>
      <c r="I79" s="235">
        <f t="shared" ref="I79" si="229">0.5*(H79*1.1)</f>
        <v>47.058000000000007</v>
      </c>
      <c r="J79" s="875">
        <v>125</v>
      </c>
      <c r="K79" s="875" t="s">
        <v>113</v>
      </c>
      <c r="L79" s="875" t="s">
        <v>113</v>
      </c>
      <c r="M79" s="875" t="s">
        <v>113</v>
      </c>
      <c r="N79" s="875" t="s">
        <v>113</v>
      </c>
      <c r="O79" s="875" t="s">
        <v>113</v>
      </c>
      <c r="P79" s="875" t="s">
        <v>113</v>
      </c>
      <c r="Q79" s="1061">
        <f t="shared" ref="Q79" si="230">SUM(J79:P79)</f>
        <v>125</v>
      </c>
      <c r="R79" s="303">
        <f t="shared" ref="R79" si="231">2*Q79</f>
        <v>250</v>
      </c>
      <c r="S79" s="340">
        <f t="shared" ref="S79" si="232">R79+(2*71)</f>
        <v>392</v>
      </c>
      <c r="T79" s="632" t="s">
        <v>112</v>
      </c>
      <c r="U79" s="608">
        <v>74</v>
      </c>
      <c r="V79" s="632" t="s">
        <v>112</v>
      </c>
      <c r="W79" s="632" t="s">
        <v>112</v>
      </c>
      <c r="X79" s="612">
        <f t="shared" ref="X79" si="233">SUM(T79:W79)</f>
        <v>74</v>
      </c>
      <c r="Y79" s="510">
        <f t="shared" ref="Y79" si="234">2*X79</f>
        <v>148</v>
      </c>
      <c r="Z79" s="517">
        <f t="shared" ref="Z79" si="235">Y79+(23)</f>
        <v>171</v>
      </c>
      <c r="AA79" s="612">
        <f t="shared" ref="AA79" si="236">Z79-H79</f>
        <v>85.44</v>
      </c>
      <c r="AB79" s="618">
        <f t="shared" ref="AB79" si="237">Z79-I79</f>
        <v>123.94199999999999</v>
      </c>
      <c r="AC79" s="630">
        <v>199</v>
      </c>
      <c r="AD79" s="871">
        <f t="shared" si="219"/>
        <v>75.580500000000001</v>
      </c>
      <c r="AE79" s="612">
        <f t="shared" si="220"/>
        <v>75.580500000000001</v>
      </c>
      <c r="AF79" s="240">
        <f t="shared" ref="AF79" si="238">2*AE79</f>
        <v>151.161</v>
      </c>
      <c r="AG79" s="241">
        <f t="shared" ref="AG79" si="239">AF79+(23)</f>
        <v>174.161</v>
      </c>
      <c r="AH79" s="625">
        <f t="shared" ref="AH79" si="240">AG79-I79</f>
        <v>127.10299999999999</v>
      </c>
      <c r="AI79" s="892" t="s">
        <v>356</v>
      </c>
      <c r="AJ79" s="875">
        <v>60</v>
      </c>
      <c r="AK79" s="1060">
        <f t="shared" ref="AK79" si="241">(2*AJ79)+(2*71)+(2*45)</f>
        <v>352</v>
      </c>
      <c r="AL79" s="877">
        <f t="shared" ref="AL79" si="242">S79-AK79</f>
        <v>40</v>
      </c>
      <c r="AM79" s="666" t="s">
        <v>113</v>
      </c>
      <c r="AN79" s="235">
        <f>523+(1*23)</f>
        <v>546</v>
      </c>
      <c r="AO79" s="236">
        <f t="shared" ref="AO79" si="243">Z79-AN79</f>
        <v>-375</v>
      </c>
      <c r="AP79" s="453"/>
      <c r="AQ79" s="304" t="s">
        <v>756</v>
      </c>
      <c r="AR79" s="695">
        <f t="shared" ref="AR79:AR83" si="244">H79</f>
        <v>85.56</v>
      </c>
      <c r="AS79" s="695">
        <f t="shared" ref="AS79:AS83" si="245">Z79</f>
        <v>171</v>
      </c>
      <c r="AT79" s="695">
        <f t="shared" ref="AT79:AT83" si="246">AN79</f>
        <v>546</v>
      </c>
      <c r="AU79" s="1318">
        <f t="shared" ref="AU79:AU83" si="247">S79-G79</f>
        <v>17.100000000000023</v>
      </c>
      <c r="AV79" s="698">
        <f t="shared" ref="AV79:AV83" si="248">AL79</f>
        <v>40</v>
      </c>
      <c r="AW79" s="406"/>
      <c r="AX79" s="406"/>
      <c r="AY79" s="406"/>
      <c r="AZ79" s="406"/>
      <c r="BA79" s="406"/>
      <c r="BB79" s="406"/>
      <c r="BC79" s="957">
        <f t="shared" ref="BC79:BC83" si="249">B79</f>
        <v>22</v>
      </c>
      <c r="BD79" s="406"/>
      <c r="BE79" s="816"/>
      <c r="BI79" s="1287">
        <v>1</v>
      </c>
    </row>
    <row r="80" spans="1:61" s="147" customFormat="1" ht="15" customHeight="1">
      <c r="A80" s="795">
        <f t="shared" ref="A80:A83" si="250">A79+1</f>
        <v>28</v>
      </c>
      <c r="B80" s="771">
        <f t="shared" ref="B80:B83" si="251">B79+1</f>
        <v>23</v>
      </c>
      <c r="C80" s="299" t="s">
        <v>74</v>
      </c>
      <c r="D80" s="630">
        <v>116</v>
      </c>
      <c r="E80" s="790">
        <f>2*D80</f>
        <v>232</v>
      </c>
      <c r="F80" s="1093">
        <f>(2*120)</f>
        <v>240</v>
      </c>
      <c r="G80" s="790">
        <f>F80*1.15</f>
        <v>276</v>
      </c>
      <c r="H80" s="876">
        <f>E80*0.23</f>
        <v>53.36</v>
      </c>
      <c r="I80" s="298">
        <f>0.5*(H80*1.1)</f>
        <v>29.348000000000003</v>
      </c>
      <c r="J80" s="874">
        <f>102-44</f>
        <v>58</v>
      </c>
      <c r="K80" s="790">
        <v>15</v>
      </c>
      <c r="L80" s="790">
        <f>240-200</f>
        <v>40</v>
      </c>
      <c r="M80" s="875" t="s">
        <v>113</v>
      </c>
      <c r="N80" s="875" t="s">
        <v>113</v>
      </c>
      <c r="O80" s="875" t="s">
        <v>113</v>
      </c>
      <c r="P80" s="1061" t="s">
        <v>113</v>
      </c>
      <c r="Q80" s="790">
        <f>SUM(J80:P80)</f>
        <v>113</v>
      </c>
      <c r="R80" s="526">
        <f>2*Q80</f>
        <v>226</v>
      </c>
      <c r="S80" s="381">
        <f>R80+(2*71)</f>
        <v>368</v>
      </c>
      <c r="T80" s="632" t="s">
        <v>112</v>
      </c>
      <c r="U80" s="609">
        <v>62</v>
      </c>
      <c r="V80" s="609">
        <v>1</v>
      </c>
      <c r="W80" s="632" t="s">
        <v>112</v>
      </c>
      <c r="X80" s="639">
        <f>SUM(T80:W80)</f>
        <v>63</v>
      </c>
      <c r="Y80" s="527">
        <f>2*X80</f>
        <v>126</v>
      </c>
      <c r="Z80" s="522">
        <f>Y80+(23)</f>
        <v>149</v>
      </c>
      <c r="AA80" s="647">
        <f>Z80-H80</f>
        <v>95.64</v>
      </c>
      <c r="AB80" s="618">
        <f>Z80-I80</f>
        <v>119.652</v>
      </c>
      <c r="AC80" s="630">
        <f>138</f>
        <v>138</v>
      </c>
      <c r="AD80" s="871">
        <f t="shared" si="219"/>
        <v>62.801000000000002</v>
      </c>
      <c r="AE80" s="612">
        <f t="shared" si="220"/>
        <v>63.801000000000002</v>
      </c>
      <c r="AF80" s="407">
        <f>2*AE80</f>
        <v>127.602</v>
      </c>
      <c r="AG80" s="408">
        <f>AF80+(23)</f>
        <v>150.602</v>
      </c>
      <c r="AH80" s="612">
        <f>AG80-I80</f>
        <v>121.254</v>
      </c>
      <c r="AI80" s="617" t="s">
        <v>354</v>
      </c>
      <c r="AJ80" s="1061">
        <v>255</v>
      </c>
      <c r="AK80" s="875">
        <f>(2*AJ80)+(2*71)+(2*45)</f>
        <v>742</v>
      </c>
      <c r="AL80" s="877">
        <f>S80-AK80</f>
        <v>-374</v>
      </c>
      <c r="AM80" s="612">
        <v>15</v>
      </c>
      <c r="AN80" s="235">
        <f>466+(1*23)+AM80</f>
        <v>504</v>
      </c>
      <c r="AO80" s="248">
        <f>Z80-AN80</f>
        <v>-355</v>
      </c>
      <c r="AP80" s="448"/>
      <c r="AQ80" s="295" t="s">
        <v>87</v>
      </c>
      <c r="AR80" s="695">
        <f t="shared" si="244"/>
        <v>53.36</v>
      </c>
      <c r="AS80" s="695">
        <f t="shared" si="245"/>
        <v>149</v>
      </c>
      <c r="AT80" s="695">
        <f t="shared" si="246"/>
        <v>504</v>
      </c>
      <c r="AU80" s="696">
        <f t="shared" si="247"/>
        <v>92</v>
      </c>
      <c r="AV80" s="698">
        <f t="shared" si="248"/>
        <v>-374</v>
      </c>
      <c r="BC80" s="957">
        <f t="shared" si="249"/>
        <v>23</v>
      </c>
      <c r="BI80" s="1287">
        <v>1</v>
      </c>
    </row>
    <row r="81" spans="1:61" s="147" customFormat="1" ht="15" customHeight="1">
      <c r="A81" s="795">
        <f t="shared" si="250"/>
        <v>29</v>
      </c>
      <c r="B81" s="763">
        <f>B78+1</f>
        <v>6</v>
      </c>
      <c r="C81" s="273" t="s">
        <v>100</v>
      </c>
      <c r="D81" s="630">
        <v>211</v>
      </c>
      <c r="E81" s="877">
        <f>2*D81</f>
        <v>422</v>
      </c>
      <c r="F81" s="877">
        <f>2*214</f>
        <v>428</v>
      </c>
      <c r="G81" s="629">
        <f>F81*1.15</f>
        <v>492.2</v>
      </c>
      <c r="H81" s="876">
        <f t="shared" ref="H81:H83" si="252">E81*0.23</f>
        <v>97.06</v>
      </c>
      <c r="I81" s="298">
        <f>0.5*(H81*1.1)</f>
        <v>53.383000000000003</v>
      </c>
      <c r="J81" s="874">
        <f>183-70</f>
        <v>113</v>
      </c>
      <c r="K81" s="875" t="s">
        <v>113</v>
      </c>
      <c r="L81" s="875" t="s">
        <v>113</v>
      </c>
      <c r="M81" s="875" t="s">
        <v>113</v>
      </c>
      <c r="N81" s="875" t="s">
        <v>113</v>
      </c>
      <c r="O81" s="875" t="s">
        <v>113</v>
      </c>
      <c r="P81" s="875" t="s">
        <v>113</v>
      </c>
      <c r="Q81" s="1095">
        <f>SUM(J81:P81)</f>
        <v>113</v>
      </c>
      <c r="R81" s="528">
        <f>2*Q81</f>
        <v>226</v>
      </c>
      <c r="S81" s="529">
        <f>R81+(2*71)</f>
        <v>368</v>
      </c>
      <c r="T81" s="632" t="s">
        <v>112</v>
      </c>
      <c r="U81" s="642">
        <v>82</v>
      </c>
      <c r="V81" s="632" t="s">
        <v>112</v>
      </c>
      <c r="W81" s="632" t="s">
        <v>112</v>
      </c>
      <c r="X81" s="639">
        <f>SUM(T81:W81)</f>
        <v>82</v>
      </c>
      <c r="Y81" s="530">
        <f>2*X81</f>
        <v>164</v>
      </c>
      <c r="Z81" s="522">
        <f>Y81+(23)</f>
        <v>187</v>
      </c>
      <c r="AA81" s="647">
        <f>Z81-H81</f>
        <v>89.94</v>
      </c>
      <c r="AB81" s="618">
        <f>Z81-I81</f>
        <v>133.61699999999999</v>
      </c>
      <c r="AC81" s="1097">
        <f>306-78</f>
        <v>228</v>
      </c>
      <c r="AD81" s="871">
        <f t="shared" si="219"/>
        <v>81.656000000000006</v>
      </c>
      <c r="AE81" s="612">
        <f t="shared" si="220"/>
        <v>81.656000000000006</v>
      </c>
      <c r="AF81" s="251">
        <f>2*AE81</f>
        <v>163.31200000000001</v>
      </c>
      <c r="AG81" s="408">
        <f>AF81+(23)</f>
        <v>186.31200000000001</v>
      </c>
      <c r="AH81" s="625">
        <f>AG81-I81</f>
        <v>132.929</v>
      </c>
      <c r="AI81" s="1076" t="s">
        <v>355</v>
      </c>
      <c r="AJ81" s="1049">
        <v>420</v>
      </c>
      <c r="AK81" s="875">
        <f>(2*AJ81)+(2*71)+(2*45)</f>
        <v>1072</v>
      </c>
      <c r="AL81" s="877">
        <f>S81-AK81</f>
        <v>-704</v>
      </c>
      <c r="AM81" s="612">
        <v>15</v>
      </c>
      <c r="AN81" s="395">
        <f>730+23+AM81</f>
        <v>768</v>
      </c>
      <c r="AO81" s="248">
        <f>Z81-AN81</f>
        <v>-581</v>
      </c>
      <c r="AP81" s="453"/>
      <c r="AQ81" s="273" t="s">
        <v>102</v>
      </c>
      <c r="AR81" s="695">
        <f t="shared" si="244"/>
        <v>97.06</v>
      </c>
      <c r="AS81" s="695">
        <f t="shared" si="245"/>
        <v>187</v>
      </c>
      <c r="AT81" s="695">
        <f t="shared" si="246"/>
        <v>768</v>
      </c>
      <c r="AU81" s="696">
        <f t="shared" si="247"/>
        <v>-124.19999999999999</v>
      </c>
      <c r="AV81" s="698">
        <f t="shared" si="248"/>
        <v>-704</v>
      </c>
      <c r="BC81" s="961">
        <f t="shared" si="249"/>
        <v>6</v>
      </c>
      <c r="BH81" s="1287">
        <v>1</v>
      </c>
    </row>
    <row r="82" spans="1:61" s="147" customFormat="1" ht="15" customHeight="1">
      <c r="A82" s="795">
        <f t="shared" si="250"/>
        <v>30</v>
      </c>
      <c r="B82" s="763">
        <f t="shared" si="251"/>
        <v>7</v>
      </c>
      <c r="C82" s="273" t="s">
        <v>893</v>
      </c>
      <c r="D82" s="630">
        <v>246</v>
      </c>
      <c r="E82" s="877">
        <f>2*D82</f>
        <v>492</v>
      </c>
      <c r="F82" s="877">
        <f>2*216</f>
        <v>432</v>
      </c>
      <c r="G82" s="629">
        <f>F82*1.15</f>
        <v>496.79999999999995</v>
      </c>
      <c r="H82" s="876">
        <f t="shared" si="252"/>
        <v>113.16000000000001</v>
      </c>
      <c r="I82" s="298">
        <f>0.5*(H82*1.1)</f>
        <v>62.238000000000014</v>
      </c>
      <c r="J82" s="877">
        <v>147</v>
      </c>
      <c r="K82" s="875" t="s">
        <v>113</v>
      </c>
      <c r="L82" s="875" t="s">
        <v>113</v>
      </c>
      <c r="M82" s="875" t="s">
        <v>113</v>
      </c>
      <c r="N82" s="875" t="s">
        <v>113</v>
      </c>
      <c r="O82" s="875" t="s">
        <v>113</v>
      </c>
      <c r="P82" s="875" t="s">
        <v>113</v>
      </c>
      <c r="Q82" s="1095">
        <f>SUM(J82:P82)</f>
        <v>147</v>
      </c>
      <c r="R82" s="528">
        <f>2*Q82</f>
        <v>294</v>
      </c>
      <c r="S82" s="529">
        <f>R82+(2*71)</f>
        <v>436</v>
      </c>
      <c r="T82" s="608" t="s">
        <v>113</v>
      </c>
      <c r="U82" s="642">
        <v>82</v>
      </c>
      <c r="V82" s="632" t="s">
        <v>112</v>
      </c>
      <c r="W82" s="632" t="s">
        <v>112</v>
      </c>
      <c r="X82" s="639">
        <f>SUM(T82:W82)</f>
        <v>82</v>
      </c>
      <c r="Y82" s="530">
        <f>2*X82</f>
        <v>164</v>
      </c>
      <c r="Z82" s="522">
        <f>Y82+(23)</f>
        <v>187</v>
      </c>
      <c r="AA82" s="647">
        <f>Z82-H82</f>
        <v>73.839999999999989</v>
      </c>
      <c r="AB82" s="618">
        <f>Z82-I82</f>
        <v>124.76199999999999</v>
      </c>
      <c r="AC82" s="1097">
        <v>232</v>
      </c>
      <c r="AD82" s="871">
        <f t="shared" si="219"/>
        <v>82.494</v>
      </c>
      <c r="AE82" s="612">
        <f t="shared" si="220"/>
        <v>82.494</v>
      </c>
      <c r="AF82" s="251">
        <f>2*AE82</f>
        <v>164.988</v>
      </c>
      <c r="AG82" s="408">
        <f>AF82+(23)</f>
        <v>187.988</v>
      </c>
      <c r="AH82" s="625">
        <f>AG82-I82</f>
        <v>125.74999999999999</v>
      </c>
      <c r="AI82" s="617" t="s">
        <v>356</v>
      </c>
      <c r="AJ82" s="1049">
        <v>60</v>
      </c>
      <c r="AK82" s="875">
        <f>(2*AJ82)+(2*71)+(2*45)</f>
        <v>352</v>
      </c>
      <c r="AL82" s="877">
        <f>S82-AK82</f>
        <v>84</v>
      </c>
      <c r="AM82" s="612">
        <v>15</v>
      </c>
      <c r="AN82" s="332">
        <f>523+23+AM82</f>
        <v>561</v>
      </c>
      <c r="AO82" s="248">
        <f>Z82-AN82</f>
        <v>-374</v>
      </c>
      <c r="AP82" s="453"/>
      <c r="AQ82" s="273" t="s">
        <v>757</v>
      </c>
      <c r="AR82" s="695">
        <f t="shared" si="244"/>
        <v>113.16000000000001</v>
      </c>
      <c r="AS82" s="695">
        <f t="shared" si="245"/>
        <v>187</v>
      </c>
      <c r="AT82" s="695">
        <f t="shared" si="246"/>
        <v>561</v>
      </c>
      <c r="AU82" s="696">
        <f t="shared" si="247"/>
        <v>-60.799999999999955</v>
      </c>
      <c r="AV82" s="698">
        <f t="shared" si="248"/>
        <v>84</v>
      </c>
      <c r="BC82" s="961">
        <f t="shared" si="249"/>
        <v>7</v>
      </c>
      <c r="BH82" s="1287">
        <v>1</v>
      </c>
    </row>
    <row r="83" spans="1:61" s="147" customFormat="1" ht="15" customHeight="1">
      <c r="A83" s="795">
        <f t="shared" si="250"/>
        <v>31</v>
      </c>
      <c r="B83" s="763">
        <f t="shared" si="251"/>
        <v>8</v>
      </c>
      <c r="C83" s="273" t="s">
        <v>97</v>
      </c>
      <c r="D83" s="630">
        <v>242</v>
      </c>
      <c r="E83" s="877">
        <f>2*D83</f>
        <v>484</v>
      </c>
      <c r="F83" s="877">
        <f>2*228</f>
        <v>456</v>
      </c>
      <c r="G83" s="629">
        <f>F83*1.15</f>
        <v>524.4</v>
      </c>
      <c r="H83" s="876">
        <f t="shared" si="252"/>
        <v>111.32000000000001</v>
      </c>
      <c r="I83" s="298">
        <f>0.5*(H83*1.1)</f>
        <v>61.226000000000006</v>
      </c>
      <c r="J83" s="874">
        <f>183-44</f>
        <v>139</v>
      </c>
      <c r="K83" s="875" t="s">
        <v>113</v>
      </c>
      <c r="L83" s="875" t="s">
        <v>113</v>
      </c>
      <c r="M83" s="875" t="s">
        <v>113</v>
      </c>
      <c r="N83" s="875" t="s">
        <v>113</v>
      </c>
      <c r="O83" s="875" t="s">
        <v>113</v>
      </c>
      <c r="P83" s="875" t="s">
        <v>113</v>
      </c>
      <c r="Q83" s="1095">
        <f>SUM(J83:P83)</f>
        <v>139</v>
      </c>
      <c r="R83" s="528">
        <f>2*Q83</f>
        <v>278</v>
      </c>
      <c r="S83" s="529">
        <f>R83+(2*71)</f>
        <v>420</v>
      </c>
      <c r="T83" s="608" t="s">
        <v>113</v>
      </c>
      <c r="U83" s="642">
        <v>87</v>
      </c>
      <c r="V83" s="632" t="s">
        <v>112</v>
      </c>
      <c r="W83" s="632" t="s">
        <v>112</v>
      </c>
      <c r="X83" s="639">
        <f>SUM(T83:W83)</f>
        <v>87</v>
      </c>
      <c r="Y83" s="530">
        <f>2*X83</f>
        <v>174</v>
      </c>
      <c r="Z83" s="522">
        <f>Y83+(23)</f>
        <v>197</v>
      </c>
      <c r="AA83" s="647">
        <f>Z83-H83</f>
        <v>85.679999999999993</v>
      </c>
      <c r="AB83" s="618">
        <f>Z83-I83</f>
        <v>135.774</v>
      </c>
      <c r="AC83" s="1097">
        <f>306-48</f>
        <v>258</v>
      </c>
      <c r="AD83" s="871">
        <f t="shared" si="219"/>
        <v>87.941000000000003</v>
      </c>
      <c r="AE83" s="612">
        <f t="shared" si="220"/>
        <v>87.941000000000003</v>
      </c>
      <c r="AF83" s="251">
        <f>2*AE83</f>
        <v>175.88200000000001</v>
      </c>
      <c r="AG83" s="408">
        <f>AF83+(23)</f>
        <v>198.88200000000001</v>
      </c>
      <c r="AH83" s="625">
        <f>AG83-I83</f>
        <v>137.65600000000001</v>
      </c>
      <c r="AI83" s="1076" t="s">
        <v>355</v>
      </c>
      <c r="AJ83" s="1049">
        <v>420</v>
      </c>
      <c r="AK83" s="875">
        <f>(2*AJ83)+(2*71)+(2*45)</f>
        <v>1072</v>
      </c>
      <c r="AL83" s="877">
        <f>S83-AK83</f>
        <v>-652</v>
      </c>
      <c r="AM83" s="666" t="s">
        <v>113</v>
      </c>
      <c r="AN83" s="395">
        <f>730+(23)</f>
        <v>753</v>
      </c>
      <c r="AO83" s="248">
        <f>Z83-AN83</f>
        <v>-556</v>
      </c>
      <c r="AP83" s="453"/>
      <c r="AQ83" s="273" t="s">
        <v>98</v>
      </c>
      <c r="AR83" s="695">
        <f t="shared" si="244"/>
        <v>111.32000000000001</v>
      </c>
      <c r="AS83" s="695">
        <f t="shared" si="245"/>
        <v>197</v>
      </c>
      <c r="AT83" s="695">
        <f t="shared" si="246"/>
        <v>753</v>
      </c>
      <c r="AU83" s="696">
        <f t="shared" si="247"/>
        <v>-104.39999999999998</v>
      </c>
      <c r="AV83" s="698">
        <f t="shared" si="248"/>
        <v>-652</v>
      </c>
      <c r="BC83" s="961">
        <f t="shared" si="249"/>
        <v>8</v>
      </c>
      <c r="BE83" s="147" t="s">
        <v>82</v>
      </c>
      <c r="BH83" s="1287">
        <v>1</v>
      </c>
    </row>
    <row r="84" spans="1:61" ht="332" customHeight="1">
      <c r="A84" s="799"/>
      <c r="C84" s="1044" t="s">
        <v>544</v>
      </c>
      <c r="D84" s="1427" t="s">
        <v>854</v>
      </c>
      <c r="E84" s="1365"/>
      <c r="F84" s="872" t="s">
        <v>859</v>
      </c>
      <c r="G84" s="1010" t="s">
        <v>857</v>
      </c>
      <c r="H84" s="1046" t="s">
        <v>190</v>
      </c>
      <c r="I84" s="844"/>
      <c r="J84" s="1062" t="s">
        <v>863</v>
      </c>
      <c r="K84" s="866" t="s">
        <v>864</v>
      </c>
      <c r="L84" s="1064" t="s">
        <v>204</v>
      </c>
      <c r="M84" s="1096"/>
      <c r="N84" s="866"/>
      <c r="O84" s="1019"/>
      <c r="P84" s="1019"/>
      <c r="Q84" s="1019"/>
      <c r="R84" s="333"/>
      <c r="S84" s="1007" t="s">
        <v>1162</v>
      </c>
      <c r="T84" s="291"/>
      <c r="U84" s="866" t="s">
        <v>205</v>
      </c>
      <c r="V84" s="1084" t="s">
        <v>866</v>
      </c>
      <c r="W84" s="174"/>
      <c r="X84" s="40"/>
      <c r="Y84" s="96"/>
      <c r="Z84" s="1034" t="s">
        <v>1170</v>
      </c>
      <c r="AA84" s="370"/>
      <c r="AB84" s="1036" t="s">
        <v>220</v>
      </c>
      <c r="AC84" s="1072" t="s">
        <v>865</v>
      </c>
      <c r="AD84" s="1036" t="s">
        <v>127</v>
      </c>
      <c r="AE84" s="120"/>
      <c r="AF84" s="214"/>
      <c r="AG84" s="1034" t="s">
        <v>1170</v>
      </c>
      <c r="AH84" s="363"/>
      <c r="AI84" s="828"/>
      <c r="AJ84" s="1078" t="s">
        <v>1153</v>
      </c>
      <c r="AK84" s="1098" t="s">
        <v>1</v>
      </c>
      <c r="AL84" s="753"/>
      <c r="AM84" s="753"/>
      <c r="AN84" s="752" t="s">
        <v>861</v>
      </c>
      <c r="AO84" s="174"/>
      <c r="AQ84" s="1044" t="s">
        <v>544</v>
      </c>
    </row>
    <row r="85" spans="1:61" s="12" customFormat="1" ht="17" customHeight="1">
      <c r="A85" s="799"/>
      <c r="B85" s="124"/>
      <c r="C85" s="10"/>
      <c r="D85" s="71"/>
      <c r="E85" s="135"/>
      <c r="F85" s="575"/>
      <c r="G85" s="135"/>
      <c r="H85" s="131"/>
      <c r="I85" s="131"/>
      <c r="J85" s="126"/>
      <c r="K85" s="56"/>
      <c r="L85" s="131"/>
      <c r="M85" s="356"/>
      <c r="N85" s="131"/>
      <c r="O85" s="131"/>
      <c r="P85" s="131"/>
      <c r="Q85" s="131"/>
      <c r="R85" s="127"/>
      <c r="S85" s="131"/>
      <c r="T85" s="383"/>
      <c r="U85" s="357"/>
      <c r="V85" s="131"/>
      <c r="W85" s="384"/>
      <c r="X85" s="131"/>
      <c r="Y85" s="28"/>
      <c r="Z85" s="28"/>
      <c r="AA85" s="356"/>
      <c r="AB85" s="385"/>
      <c r="AC85" s="253"/>
      <c r="AD85" s="366"/>
      <c r="AE85" s="131"/>
      <c r="AF85" s="28"/>
      <c r="AG85" s="28"/>
      <c r="AH85" s="137"/>
      <c r="AI85" s="137"/>
      <c r="AJ85" s="60"/>
      <c r="AK85" s="386"/>
      <c r="AL85" s="141"/>
      <c r="AM85" s="141"/>
      <c r="AN85" s="385"/>
      <c r="AO85" s="385"/>
      <c r="AP85" s="446"/>
      <c r="AV85" s="508" t="s">
        <v>82</v>
      </c>
      <c r="BC85" s="166"/>
    </row>
    <row r="86" spans="1:61" s="12" customFormat="1" ht="15" customHeight="1">
      <c r="A86" s="799"/>
      <c r="B86" s="124"/>
      <c r="C86" s="10"/>
      <c r="D86" s="71"/>
      <c r="E86" s="135"/>
      <c r="F86" s="575"/>
      <c r="G86" s="135"/>
      <c r="H86" s="131"/>
      <c r="I86" s="131"/>
      <c r="J86" s="126"/>
      <c r="K86" s="56"/>
      <c r="L86" s="131"/>
      <c r="M86" s="356"/>
      <c r="N86" s="131"/>
      <c r="O86" s="131"/>
      <c r="P86" s="131"/>
      <c r="Q86" s="131"/>
      <c r="R86" s="127"/>
      <c r="S86" s="131"/>
      <c r="T86" s="383"/>
      <c r="U86" s="357"/>
      <c r="V86" s="131"/>
      <c r="W86" s="384"/>
      <c r="X86" s="131"/>
      <c r="Y86" s="28"/>
      <c r="Z86" s="28"/>
      <c r="AA86" s="356"/>
      <c r="AB86" s="385"/>
      <c r="AC86" s="253"/>
      <c r="AD86" s="366"/>
      <c r="AE86" s="131"/>
      <c r="AF86" s="28"/>
      <c r="AG86" s="28"/>
      <c r="AH86" s="137"/>
      <c r="AI86" s="137"/>
      <c r="AJ86" s="60"/>
      <c r="AK86" s="386"/>
      <c r="AL86" s="141"/>
      <c r="AM86" s="141"/>
      <c r="AN86" s="385"/>
      <c r="AO86" s="385"/>
      <c r="AP86" s="446"/>
      <c r="BC86" s="166"/>
    </row>
    <row r="87" spans="1:61" ht="15" customHeight="1">
      <c r="A87" s="799"/>
      <c r="B87" s="354" t="s">
        <v>110</v>
      </c>
      <c r="C87" s="1457" t="s">
        <v>503</v>
      </c>
      <c r="D87" s="1458"/>
      <c r="E87" s="1458"/>
      <c r="F87" s="1458"/>
      <c r="G87" s="1458"/>
      <c r="H87" s="1458"/>
      <c r="I87" s="1458"/>
      <c r="J87" s="1458"/>
      <c r="K87" s="1458"/>
      <c r="L87" s="1458"/>
      <c r="M87" s="1458"/>
      <c r="N87" s="1458"/>
      <c r="O87" s="1458"/>
      <c r="P87" s="1458"/>
      <c r="Q87" s="1458"/>
      <c r="R87" s="1458"/>
      <c r="S87" s="1458"/>
      <c r="T87" s="1459"/>
      <c r="U87" s="1459"/>
      <c r="V87" s="1459"/>
      <c r="W87" s="1459"/>
      <c r="X87" s="1459"/>
      <c r="Y87" s="1459"/>
      <c r="Z87" s="1459"/>
      <c r="AA87" s="1459"/>
      <c r="AB87" s="1459"/>
      <c r="AC87" s="1459"/>
      <c r="AD87" s="1459"/>
      <c r="AE87" s="1459"/>
      <c r="AF87" s="1459"/>
      <c r="AG87" s="1459"/>
      <c r="AH87" s="1459"/>
      <c r="AI87" s="1459"/>
      <c r="AJ87" s="1459"/>
      <c r="AK87" s="324"/>
      <c r="AL87" s="64"/>
      <c r="AM87" s="64"/>
      <c r="AN87" s="385"/>
      <c r="AO87" s="343"/>
    </row>
    <row r="88" spans="1:61" s="1122" customFormat="1" ht="30" customHeight="1">
      <c r="A88" s="1115"/>
      <c r="B88" s="1116"/>
      <c r="C88" s="1117" t="s">
        <v>116</v>
      </c>
      <c r="D88" s="1424" t="s">
        <v>39</v>
      </c>
      <c r="E88" s="1425"/>
      <c r="F88" s="1425"/>
      <c r="G88" s="1425"/>
      <c r="H88" s="1425"/>
      <c r="I88" s="1426"/>
      <c r="J88" s="1444" t="s">
        <v>106</v>
      </c>
      <c r="K88" s="1444"/>
      <c r="L88" s="1444"/>
      <c r="M88" s="1444"/>
      <c r="N88" s="1444"/>
      <c r="O88" s="1444"/>
      <c r="P88" s="1444"/>
      <c r="Q88" s="1444"/>
      <c r="R88" s="1432" t="s">
        <v>22</v>
      </c>
      <c r="S88" s="1433"/>
      <c r="T88" s="1409" t="s">
        <v>136</v>
      </c>
      <c r="U88" s="1410"/>
      <c r="V88" s="1410"/>
      <c r="W88" s="1410"/>
      <c r="X88" s="1410"/>
      <c r="Y88" s="1411" t="s">
        <v>126</v>
      </c>
      <c r="Z88" s="1412"/>
      <c r="AA88" s="1118"/>
      <c r="AB88" s="1118"/>
      <c r="AC88" s="1413" t="s">
        <v>101</v>
      </c>
      <c r="AD88" s="1414"/>
      <c r="AE88" s="1456"/>
      <c r="AF88" s="1455" t="s">
        <v>23</v>
      </c>
      <c r="AG88" s="1416"/>
      <c r="AH88" s="1119"/>
      <c r="AI88" s="1434" t="s">
        <v>25</v>
      </c>
      <c r="AJ88" s="1435"/>
      <c r="AK88" s="1435"/>
      <c r="AL88" s="1435"/>
      <c r="AM88" s="1435"/>
      <c r="AN88" s="1436"/>
      <c r="AO88" s="1120"/>
      <c r="AP88" s="1121"/>
      <c r="AV88" s="1317" t="s">
        <v>82</v>
      </c>
      <c r="BC88" s="1123"/>
    </row>
    <row r="89" spans="1:61" ht="15" customHeight="1">
      <c r="A89" s="799"/>
      <c r="C89" s="507"/>
      <c r="D89" s="173">
        <v>1</v>
      </c>
      <c r="E89" s="134">
        <f t="shared" ref="E89:W89" si="253">D89+1</f>
        <v>2</v>
      </c>
      <c r="F89" s="574">
        <f t="shared" si="253"/>
        <v>3</v>
      </c>
      <c r="G89" s="134">
        <f t="shared" si="253"/>
        <v>4</v>
      </c>
      <c r="H89" s="134">
        <f t="shared" si="253"/>
        <v>5</v>
      </c>
      <c r="I89" s="133">
        <f t="shared" si="253"/>
        <v>6</v>
      </c>
      <c r="J89" s="134">
        <f t="shared" si="253"/>
        <v>7</v>
      </c>
      <c r="K89" s="364">
        <f t="shared" si="253"/>
        <v>8</v>
      </c>
      <c r="L89" s="134">
        <f t="shared" si="253"/>
        <v>9</v>
      </c>
      <c r="M89" s="134">
        <f t="shared" si="253"/>
        <v>10</v>
      </c>
      <c r="N89" s="134">
        <f t="shared" si="253"/>
        <v>11</v>
      </c>
      <c r="O89" s="134">
        <f t="shared" si="253"/>
        <v>12</v>
      </c>
      <c r="P89" s="134">
        <f t="shared" si="253"/>
        <v>13</v>
      </c>
      <c r="Q89" s="134">
        <f t="shared" si="253"/>
        <v>14</v>
      </c>
      <c r="R89" s="151">
        <f t="shared" si="253"/>
        <v>15</v>
      </c>
      <c r="S89" s="365">
        <f t="shared" si="253"/>
        <v>16</v>
      </c>
      <c r="T89" s="8">
        <f t="shared" si="253"/>
        <v>17</v>
      </c>
      <c r="U89" s="8">
        <f t="shared" si="253"/>
        <v>18</v>
      </c>
      <c r="V89" s="8">
        <f t="shared" si="253"/>
        <v>19</v>
      </c>
      <c r="W89" s="8">
        <f t="shared" si="253"/>
        <v>20</v>
      </c>
      <c r="X89" s="8">
        <f t="shared" ref="X89:AC89" si="254">W89+1</f>
        <v>21</v>
      </c>
      <c r="Y89" s="151">
        <f t="shared" si="254"/>
        <v>22</v>
      </c>
      <c r="Z89" s="365">
        <f t="shared" si="254"/>
        <v>23</v>
      </c>
      <c r="AA89" s="134">
        <f t="shared" si="254"/>
        <v>24</v>
      </c>
      <c r="AB89" s="134">
        <f t="shared" si="254"/>
        <v>25</v>
      </c>
      <c r="AC89" s="151">
        <f t="shared" si="254"/>
        <v>26</v>
      </c>
      <c r="AD89" s="364">
        <f t="shared" ref="AD89:AO89" si="255">AC89+1</f>
        <v>27</v>
      </c>
      <c r="AE89" s="365">
        <f t="shared" si="255"/>
        <v>28</v>
      </c>
      <c r="AF89" s="364">
        <f t="shared" si="255"/>
        <v>29</v>
      </c>
      <c r="AG89" s="364">
        <f t="shared" si="255"/>
        <v>30</v>
      </c>
      <c r="AH89" s="367">
        <f t="shared" si="255"/>
        <v>31</v>
      </c>
      <c r="AI89" s="364">
        <f>AH89+1</f>
        <v>32</v>
      </c>
      <c r="AJ89" s="38">
        <f>AI89+1</f>
        <v>33</v>
      </c>
      <c r="AK89" s="134">
        <f t="shared" si="255"/>
        <v>34</v>
      </c>
      <c r="AL89" s="134">
        <f t="shared" si="255"/>
        <v>35</v>
      </c>
      <c r="AM89" s="38">
        <f t="shared" ref="AM89" si="256">AL89+1</f>
        <v>36</v>
      </c>
      <c r="AN89" s="359">
        <f>AM89+1</f>
        <v>37</v>
      </c>
      <c r="AO89" s="173">
        <f t="shared" si="255"/>
        <v>38</v>
      </c>
    </row>
    <row r="90" spans="1:61" ht="120" customHeight="1">
      <c r="A90" s="799"/>
      <c r="B90" s="461"/>
      <c r="C90" s="1068" t="s">
        <v>869</v>
      </c>
      <c r="D90" s="1026" t="s">
        <v>560</v>
      </c>
      <c r="E90" s="1025" t="s">
        <v>561</v>
      </c>
      <c r="F90" s="1025" t="s">
        <v>407</v>
      </c>
      <c r="G90" s="1025" t="s">
        <v>408</v>
      </c>
      <c r="H90" s="418" t="s">
        <v>409</v>
      </c>
      <c r="I90" s="820" t="s">
        <v>507</v>
      </c>
      <c r="J90" s="1025" t="s">
        <v>874</v>
      </c>
      <c r="K90" s="1025" t="s">
        <v>875</v>
      </c>
      <c r="L90" s="1025" t="s">
        <v>562</v>
      </c>
      <c r="M90" s="1027" t="s">
        <v>563</v>
      </c>
      <c r="N90" s="1025" t="s">
        <v>564</v>
      </c>
      <c r="O90" s="1025" t="s">
        <v>512</v>
      </c>
      <c r="P90" s="1025" t="s">
        <v>513</v>
      </c>
      <c r="Q90" s="1027" t="s">
        <v>418</v>
      </c>
      <c r="R90" s="488" t="s">
        <v>514</v>
      </c>
      <c r="S90" s="322" t="s">
        <v>448</v>
      </c>
      <c r="T90" s="819" t="s">
        <v>565</v>
      </c>
      <c r="U90" s="819" t="s">
        <v>566</v>
      </c>
      <c r="V90" s="819" t="s">
        <v>567</v>
      </c>
      <c r="W90" s="819" t="s">
        <v>568</v>
      </c>
      <c r="X90" s="1101" t="s">
        <v>569</v>
      </c>
      <c r="Y90" s="175" t="s">
        <v>425</v>
      </c>
      <c r="Z90" s="545" t="s">
        <v>520</v>
      </c>
      <c r="AA90" s="819" t="s">
        <v>427</v>
      </c>
      <c r="AB90" s="819" t="s">
        <v>428</v>
      </c>
      <c r="AC90" s="1026" t="s">
        <v>429</v>
      </c>
      <c r="AD90" s="819" t="s">
        <v>541</v>
      </c>
      <c r="AE90" s="819" t="s">
        <v>529</v>
      </c>
      <c r="AF90" s="154" t="s">
        <v>523</v>
      </c>
      <c r="AG90" s="568" t="s">
        <v>570</v>
      </c>
      <c r="AH90" s="1031" t="s">
        <v>525</v>
      </c>
      <c r="AI90" s="1054" t="s">
        <v>346</v>
      </c>
      <c r="AJ90" s="1055" t="s">
        <v>435</v>
      </c>
      <c r="AK90" s="1074" t="s">
        <v>0</v>
      </c>
      <c r="AL90" s="1056" t="s">
        <v>571</v>
      </c>
      <c r="AM90" s="819" t="s">
        <v>402</v>
      </c>
      <c r="AN90" s="820" t="s">
        <v>343</v>
      </c>
      <c r="AO90" s="470" t="s">
        <v>436</v>
      </c>
      <c r="AQ90" s="1068" t="s">
        <v>262</v>
      </c>
      <c r="AR90" s="418" t="s">
        <v>438</v>
      </c>
      <c r="AS90" s="418" t="s">
        <v>439</v>
      </c>
      <c r="AT90" s="361" t="s">
        <v>440</v>
      </c>
      <c r="AU90" s="861" t="s">
        <v>403</v>
      </c>
      <c r="AV90" s="861" t="s">
        <v>746</v>
      </c>
      <c r="BC90" s="978" t="s">
        <v>779</v>
      </c>
    </row>
    <row r="91" spans="1:61" ht="15" customHeight="1">
      <c r="A91" s="799">
        <f>A83+1</f>
        <v>32</v>
      </c>
      <c r="B91" s="769">
        <f>B80+1</f>
        <v>24</v>
      </c>
      <c r="C91" s="55" t="s">
        <v>75</v>
      </c>
      <c r="D91" s="1069">
        <v>177</v>
      </c>
      <c r="E91" s="1070">
        <f>2*D91</f>
        <v>354</v>
      </c>
      <c r="F91" s="1070">
        <f>2*171</f>
        <v>342</v>
      </c>
      <c r="G91" s="1245">
        <f>F91*1.15</f>
        <v>393.29999999999995</v>
      </c>
      <c r="H91" s="352">
        <f>E91*0.23</f>
        <v>81.42</v>
      </c>
      <c r="I91" s="353">
        <f>0.5*(H91*1.1)</f>
        <v>44.781000000000006</v>
      </c>
      <c r="J91" s="1040">
        <v>12</v>
      </c>
      <c r="K91" s="1040">
        <f>12+15</f>
        <v>27</v>
      </c>
      <c r="L91" s="1040">
        <v>125</v>
      </c>
      <c r="M91" s="1061" t="s">
        <v>113</v>
      </c>
      <c r="N91" s="1061" t="s">
        <v>113</v>
      </c>
      <c r="O91" s="875" t="s">
        <v>113</v>
      </c>
      <c r="P91" s="875" t="s">
        <v>113</v>
      </c>
      <c r="Q91" s="1040">
        <f>SUM(J91:P91)</f>
        <v>164</v>
      </c>
      <c r="R91" s="338">
        <f>2*Q91</f>
        <v>328</v>
      </c>
      <c r="S91" s="339">
        <f>R91+(2*71)</f>
        <v>470</v>
      </c>
      <c r="T91" s="873">
        <v>3.45</v>
      </c>
      <c r="U91" s="648">
        <v>74</v>
      </c>
      <c r="V91" s="1033" t="s">
        <v>113</v>
      </c>
      <c r="W91" s="1033" t="s">
        <v>113</v>
      </c>
      <c r="X91" s="649">
        <f>SUM(T91:W91)</f>
        <v>77.45</v>
      </c>
      <c r="Y91" s="513">
        <f>2*X91</f>
        <v>154.9</v>
      </c>
      <c r="Z91" s="514">
        <f>Y91+(23)</f>
        <v>177.9</v>
      </c>
      <c r="AA91" s="1103">
        <f>Z91-H91</f>
        <v>96.48</v>
      </c>
      <c r="AB91" s="618">
        <f>Z91-I91</f>
        <v>133.119</v>
      </c>
      <c r="AC91" s="1270">
        <v>199</v>
      </c>
      <c r="AD91" s="873">
        <f>(33.89)+(AC91*0.2095)</f>
        <v>75.580500000000001</v>
      </c>
      <c r="AE91" s="650">
        <f>X91-U91+AD91</f>
        <v>79.030500000000004</v>
      </c>
      <c r="AF91" s="389">
        <f>2*AE91</f>
        <v>158.06100000000001</v>
      </c>
      <c r="AG91" s="390">
        <f>AF91+(23)</f>
        <v>181.06100000000001</v>
      </c>
      <c r="AH91" s="625">
        <f>AG91-I91</f>
        <v>136.28</v>
      </c>
      <c r="AI91" s="1076" t="s">
        <v>357</v>
      </c>
      <c r="AJ91" s="714">
        <v>257</v>
      </c>
      <c r="AK91" s="1088">
        <f>(2*AJ91)+(2*71)+(2*45)</f>
        <v>746</v>
      </c>
      <c r="AL91" s="1071">
        <f>S91-AK91</f>
        <v>-276</v>
      </c>
      <c r="AM91" s="666" t="s">
        <v>113</v>
      </c>
      <c r="AN91" s="541">
        <f>710+(23)</f>
        <v>733</v>
      </c>
      <c r="AO91" s="352">
        <f>Z91-AN91</f>
        <v>-555.1</v>
      </c>
      <c r="AQ91" s="55" t="s">
        <v>77</v>
      </c>
      <c r="AR91" s="695">
        <f>H91</f>
        <v>81.42</v>
      </c>
      <c r="AS91" s="695">
        <f>Z91</f>
        <v>177.9</v>
      </c>
      <c r="AT91" s="695">
        <f>AN91</f>
        <v>733</v>
      </c>
      <c r="AU91" s="696">
        <f>S91-G91</f>
        <v>76.700000000000045</v>
      </c>
      <c r="AV91" s="698">
        <f>AL91</f>
        <v>-276</v>
      </c>
      <c r="BC91" s="957">
        <f>B91</f>
        <v>24</v>
      </c>
      <c r="BI91" s="1287">
        <v>1</v>
      </c>
    </row>
    <row r="92" spans="1:61" ht="15" customHeight="1">
      <c r="A92" s="799">
        <f>A91+1</f>
        <v>33</v>
      </c>
      <c r="B92" s="769">
        <f>B91+1</f>
        <v>25</v>
      </c>
      <c r="C92" s="55" t="s">
        <v>53</v>
      </c>
      <c r="D92" s="1069">
        <v>206</v>
      </c>
      <c r="E92" s="1070">
        <f>2*D92</f>
        <v>412</v>
      </c>
      <c r="F92" s="1070">
        <f>2*190</f>
        <v>380</v>
      </c>
      <c r="G92" s="1245">
        <f>F92*1.15</f>
        <v>436.99999999999994</v>
      </c>
      <c r="H92" s="352">
        <f t="shared" ref="H92:H95" si="257">E92*0.23</f>
        <v>94.76</v>
      </c>
      <c r="I92" s="353">
        <f>0.5*(H92*1.1)</f>
        <v>52.118000000000009</v>
      </c>
      <c r="J92" s="1040">
        <v>12</v>
      </c>
      <c r="K92" s="1040">
        <f>12+15</f>
        <v>27</v>
      </c>
      <c r="L92" s="1040">
        <v>147</v>
      </c>
      <c r="M92" s="1061" t="s">
        <v>113</v>
      </c>
      <c r="N92" s="1061" t="s">
        <v>113</v>
      </c>
      <c r="O92" s="875" t="s">
        <v>113</v>
      </c>
      <c r="P92" s="875" t="s">
        <v>113</v>
      </c>
      <c r="Q92" s="1040">
        <f>SUM(J92:P92)</f>
        <v>186</v>
      </c>
      <c r="R92" s="338">
        <f>2*Q92</f>
        <v>372</v>
      </c>
      <c r="S92" s="339">
        <f>R92+(2*71)</f>
        <v>514</v>
      </c>
      <c r="T92" s="873">
        <v>3.45</v>
      </c>
      <c r="U92" s="648">
        <v>82</v>
      </c>
      <c r="V92" s="1033" t="s">
        <v>113</v>
      </c>
      <c r="W92" s="1033" t="s">
        <v>113</v>
      </c>
      <c r="X92" s="649">
        <f>SUM(T92:W92)</f>
        <v>85.45</v>
      </c>
      <c r="Y92" s="513">
        <f>2*X92</f>
        <v>170.9</v>
      </c>
      <c r="Z92" s="514">
        <f>Y92+(23)</f>
        <v>193.9</v>
      </c>
      <c r="AA92" s="1103">
        <f>Z92-H92</f>
        <v>99.14</v>
      </c>
      <c r="AB92" s="618">
        <f>Z92-I92</f>
        <v>141.78199999999998</v>
      </c>
      <c r="AC92" s="1270">
        <v>243</v>
      </c>
      <c r="AD92" s="873">
        <f t="shared" ref="AD92:AD95" si="258">(33.89)+(AC92*0.2095)</f>
        <v>84.79849999999999</v>
      </c>
      <c r="AE92" s="650">
        <f>X92-U92+AD92</f>
        <v>88.248499999999993</v>
      </c>
      <c r="AF92" s="389">
        <f>2*AE92</f>
        <v>176.49699999999999</v>
      </c>
      <c r="AG92" s="390">
        <f>AF92+(23)</f>
        <v>199.49699999999999</v>
      </c>
      <c r="AH92" s="625">
        <f>AG92-I92</f>
        <v>147.37899999999996</v>
      </c>
      <c r="AI92" s="1076" t="s">
        <v>357</v>
      </c>
      <c r="AJ92" s="714">
        <v>257</v>
      </c>
      <c r="AK92" s="1088">
        <f>(2*AJ92)+(2*71)+(2*45)</f>
        <v>746</v>
      </c>
      <c r="AL92" s="1071">
        <f>S92-AK92</f>
        <v>-232</v>
      </c>
      <c r="AM92" s="612">
        <v>15</v>
      </c>
      <c r="AN92" s="541">
        <f>710+(23)+AM92</f>
        <v>748</v>
      </c>
      <c r="AO92" s="352">
        <f>Z92-AN92</f>
        <v>-554.1</v>
      </c>
      <c r="AQ92" s="55" t="s">
        <v>78</v>
      </c>
      <c r="AR92" s="695">
        <f t="shared" ref="AR92:AR95" si="259">H92</f>
        <v>94.76</v>
      </c>
      <c r="AS92" s="695">
        <f t="shared" ref="AS92:AS95" si="260">Z92</f>
        <v>193.9</v>
      </c>
      <c r="AT92" s="695">
        <f t="shared" ref="AT92:AT95" si="261">AN92</f>
        <v>748</v>
      </c>
      <c r="AU92" s="696">
        <f t="shared" ref="AU92:AU95" si="262">S92-G92</f>
        <v>77.000000000000057</v>
      </c>
      <c r="AV92" s="698">
        <f t="shared" ref="AV92:AV95" si="263">AL92</f>
        <v>-232</v>
      </c>
      <c r="BC92" s="957">
        <f t="shared" ref="BC92:BC95" si="264">B92</f>
        <v>25</v>
      </c>
      <c r="BI92" s="1287">
        <v>1</v>
      </c>
    </row>
    <row r="93" spans="1:61" ht="15" customHeight="1">
      <c r="A93" s="799">
        <f t="shared" ref="A93:A95" si="265">A92+1</f>
        <v>34</v>
      </c>
      <c r="B93" s="769">
        <f>B92+1</f>
        <v>26</v>
      </c>
      <c r="C93" s="55" t="s">
        <v>332</v>
      </c>
      <c r="D93" s="1069">
        <v>123</v>
      </c>
      <c r="E93" s="1070">
        <f>2*D93</f>
        <v>246</v>
      </c>
      <c r="F93" s="1070">
        <f>2*122</f>
        <v>244</v>
      </c>
      <c r="G93" s="1245">
        <f>F93*1.15</f>
        <v>280.59999999999997</v>
      </c>
      <c r="H93" s="352">
        <f t="shared" si="257"/>
        <v>56.580000000000005</v>
      </c>
      <c r="I93" s="353">
        <f>0.5*(H93*1.1)</f>
        <v>31.119000000000007</v>
      </c>
      <c r="J93" s="1040">
        <v>12</v>
      </c>
      <c r="K93" s="1040">
        <f>12+15</f>
        <v>27</v>
      </c>
      <c r="L93" s="1040">
        <v>102</v>
      </c>
      <c r="M93" s="1100">
        <v>15</v>
      </c>
      <c r="N93" s="1040">
        <f>240-200</f>
        <v>40</v>
      </c>
      <c r="O93" s="875" t="s">
        <v>113</v>
      </c>
      <c r="P93" s="875" t="s">
        <v>113</v>
      </c>
      <c r="Q93" s="1040">
        <f>SUM(J93:P93)</f>
        <v>196</v>
      </c>
      <c r="R93" s="338">
        <f>2*Q93</f>
        <v>392</v>
      </c>
      <c r="S93" s="339">
        <f>R93+(2*71)</f>
        <v>534</v>
      </c>
      <c r="T93" s="873">
        <v>3.45</v>
      </c>
      <c r="U93" s="648">
        <v>70</v>
      </c>
      <c r="V93" s="1033" t="s">
        <v>113</v>
      </c>
      <c r="W93" s="648">
        <v>1</v>
      </c>
      <c r="X93" s="649">
        <f>SUM(T93:W93)</f>
        <v>74.45</v>
      </c>
      <c r="Y93" s="513">
        <f>2*X93</f>
        <v>148.9</v>
      </c>
      <c r="Z93" s="514">
        <f>Y93+(23)</f>
        <v>171.9</v>
      </c>
      <c r="AA93" s="1103">
        <f>Z93-H93</f>
        <v>115.32</v>
      </c>
      <c r="AB93" s="618">
        <f>Z93-I93</f>
        <v>140.78100000000001</v>
      </c>
      <c r="AC93" s="1270">
        <f>199</f>
        <v>199</v>
      </c>
      <c r="AD93" s="873">
        <f t="shared" si="258"/>
        <v>75.580500000000001</v>
      </c>
      <c r="AE93" s="650">
        <f>X93-U93+AD93</f>
        <v>80.030500000000004</v>
      </c>
      <c r="AF93" s="389">
        <f>2*AE93</f>
        <v>160.06100000000001</v>
      </c>
      <c r="AG93" s="390">
        <f>AF93+(23)</f>
        <v>183.06100000000001</v>
      </c>
      <c r="AH93" s="625">
        <f>AG93-I93</f>
        <v>151.94200000000001</v>
      </c>
      <c r="AI93" s="1076" t="s">
        <v>357</v>
      </c>
      <c r="AJ93" s="714">
        <v>257</v>
      </c>
      <c r="AK93" s="1088">
        <f>(2*AJ93)+(2*71)+(2*45)</f>
        <v>746</v>
      </c>
      <c r="AL93" s="1071">
        <f>S93-AK93</f>
        <v>-212</v>
      </c>
      <c r="AM93" s="612">
        <v>15</v>
      </c>
      <c r="AN93" s="541">
        <f>710+(23)+AM93</f>
        <v>748</v>
      </c>
      <c r="AO93" s="352">
        <f>Z93-AN93</f>
        <v>-576.1</v>
      </c>
      <c r="AQ93" s="55" t="s">
        <v>79</v>
      </c>
      <c r="AR93" s="695">
        <f t="shared" si="259"/>
        <v>56.580000000000005</v>
      </c>
      <c r="AS93" s="695">
        <f t="shared" si="260"/>
        <v>171.9</v>
      </c>
      <c r="AT93" s="695">
        <f t="shared" si="261"/>
        <v>748</v>
      </c>
      <c r="AU93" s="696">
        <f t="shared" si="262"/>
        <v>253.40000000000003</v>
      </c>
      <c r="AV93" s="698">
        <f t="shared" si="263"/>
        <v>-212</v>
      </c>
      <c r="BC93" s="957">
        <f t="shared" si="264"/>
        <v>26</v>
      </c>
      <c r="BI93" s="1287">
        <v>1</v>
      </c>
    </row>
    <row r="94" spans="1:61" ht="15" customHeight="1">
      <c r="A94" s="799">
        <f t="shared" si="265"/>
        <v>35</v>
      </c>
      <c r="B94" s="769">
        <f>B93+1</f>
        <v>27</v>
      </c>
      <c r="C94" s="55" t="s">
        <v>76</v>
      </c>
      <c r="D94" s="1069">
        <v>272</v>
      </c>
      <c r="E94" s="1070">
        <f>2*D94</f>
        <v>544</v>
      </c>
      <c r="F94" s="1070">
        <f>2*248</f>
        <v>496</v>
      </c>
      <c r="G94" s="1245">
        <f>F94*1.15</f>
        <v>570.4</v>
      </c>
      <c r="H94" s="352">
        <f t="shared" si="257"/>
        <v>125.12</v>
      </c>
      <c r="I94" s="353">
        <f>0.5*(H94*1.1)</f>
        <v>68.816000000000003</v>
      </c>
      <c r="J94" s="1040">
        <v>12</v>
      </c>
      <c r="K94" s="1040">
        <f>12+15</f>
        <v>27</v>
      </c>
      <c r="L94" s="1040">
        <v>183</v>
      </c>
      <c r="M94" s="1061" t="s">
        <v>113</v>
      </c>
      <c r="N94" s="1061" t="s">
        <v>113</v>
      </c>
      <c r="O94" s="875" t="s">
        <v>113</v>
      </c>
      <c r="P94" s="875" t="s">
        <v>113</v>
      </c>
      <c r="Q94" s="1040">
        <f>SUM(J94:P94)</f>
        <v>222</v>
      </c>
      <c r="R94" s="338">
        <f>2*Q94</f>
        <v>444</v>
      </c>
      <c r="S94" s="339">
        <f>R94+(2*71)</f>
        <v>586</v>
      </c>
      <c r="T94" s="873">
        <v>3.45</v>
      </c>
      <c r="U94" s="648">
        <v>93</v>
      </c>
      <c r="V94" s="1033" t="s">
        <v>113</v>
      </c>
      <c r="W94" s="1033" t="s">
        <v>113</v>
      </c>
      <c r="X94" s="649">
        <f>SUM(T94:W94)</f>
        <v>96.45</v>
      </c>
      <c r="Y94" s="513">
        <f>2*X94</f>
        <v>192.9</v>
      </c>
      <c r="Z94" s="514">
        <f>Y94+(23)</f>
        <v>215.9</v>
      </c>
      <c r="AA94" s="1103">
        <f>Z94-H94</f>
        <v>90.78</v>
      </c>
      <c r="AB94" s="618">
        <f>Z94-I94</f>
        <v>147.084</v>
      </c>
      <c r="AC94" s="1270">
        <v>306</v>
      </c>
      <c r="AD94" s="873">
        <f t="shared" si="258"/>
        <v>97.997</v>
      </c>
      <c r="AE94" s="650">
        <f>X94-U94+AD94</f>
        <v>101.447</v>
      </c>
      <c r="AF94" s="389">
        <f>2*AE94</f>
        <v>202.89400000000001</v>
      </c>
      <c r="AG94" s="390">
        <f>AF94+(23)</f>
        <v>225.89400000000001</v>
      </c>
      <c r="AH94" s="625">
        <f>AG94-I94</f>
        <v>157.078</v>
      </c>
      <c r="AI94" s="1076" t="s">
        <v>359</v>
      </c>
      <c r="AJ94" s="714">
        <v>80</v>
      </c>
      <c r="AK94" s="1088">
        <f>(2*AJ94)+(2*71)+(2*45)</f>
        <v>392</v>
      </c>
      <c r="AL94" s="1071">
        <f>S94-AK94</f>
        <v>194</v>
      </c>
      <c r="AM94" s="612">
        <v>31</v>
      </c>
      <c r="AN94" s="542">
        <f>291+23+AM94</f>
        <v>345</v>
      </c>
      <c r="AO94" s="352">
        <f>Z94-AN94</f>
        <v>-129.1</v>
      </c>
      <c r="AQ94" s="55" t="s">
        <v>80</v>
      </c>
      <c r="AR94" s="695">
        <f t="shared" si="259"/>
        <v>125.12</v>
      </c>
      <c r="AS94" s="695">
        <f t="shared" si="260"/>
        <v>215.9</v>
      </c>
      <c r="AT94" s="695">
        <f t="shared" si="261"/>
        <v>345</v>
      </c>
      <c r="AU94" s="696">
        <f t="shared" si="262"/>
        <v>15.600000000000023</v>
      </c>
      <c r="AV94" s="698">
        <f t="shared" si="263"/>
        <v>194</v>
      </c>
      <c r="BC94" s="957">
        <f t="shared" si="264"/>
        <v>27</v>
      </c>
      <c r="BI94" s="1287">
        <v>1</v>
      </c>
    </row>
    <row r="95" spans="1:61" ht="15" customHeight="1">
      <c r="A95" s="799">
        <f t="shared" si="265"/>
        <v>36</v>
      </c>
      <c r="B95" s="769">
        <f>B94+1</f>
        <v>28</v>
      </c>
      <c r="C95" s="55" t="s">
        <v>333</v>
      </c>
      <c r="D95" s="1069">
        <v>82</v>
      </c>
      <c r="E95" s="1070">
        <f>2*D95</f>
        <v>164</v>
      </c>
      <c r="F95" s="1070">
        <f>2*80</f>
        <v>160</v>
      </c>
      <c r="G95" s="1245">
        <f>F95*1.15</f>
        <v>184</v>
      </c>
      <c r="H95" s="352">
        <f t="shared" si="257"/>
        <v>37.72</v>
      </c>
      <c r="I95" s="353">
        <f>0.5*(H95*1.1)</f>
        <v>20.746000000000002</v>
      </c>
      <c r="J95" s="1040">
        <v>12</v>
      </c>
      <c r="K95" s="1040">
        <f>12+15</f>
        <v>27</v>
      </c>
      <c r="L95" s="1040">
        <v>102</v>
      </c>
      <c r="M95" s="1100">
        <v>15</v>
      </c>
      <c r="N95" s="1100">
        <v>240</v>
      </c>
      <c r="O95" s="875" t="s">
        <v>113</v>
      </c>
      <c r="P95" s="875" t="s">
        <v>113</v>
      </c>
      <c r="Q95" s="1040">
        <f>SUM(J95:P95)</f>
        <v>396</v>
      </c>
      <c r="R95" s="338">
        <f>2*Q95</f>
        <v>792</v>
      </c>
      <c r="S95" s="387">
        <f>R95+(2*71)</f>
        <v>934</v>
      </c>
      <c r="T95" s="873">
        <v>3.45</v>
      </c>
      <c r="U95" s="648">
        <v>70</v>
      </c>
      <c r="V95" s="1033" t="s">
        <v>113</v>
      </c>
      <c r="W95" s="648">
        <v>10</v>
      </c>
      <c r="X95" s="649">
        <f>SUM(T95:W95)</f>
        <v>83.45</v>
      </c>
      <c r="Y95" s="513">
        <f>2*X95</f>
        <v>166.9</v>
      </c>
      <c r="Z95" s="514">
        <f>Y95+(23)</f>
        <v>189.9</v>
      </c>
      <c r="AA95" s="1103">
        <f>Z95-H95</f>
        <v>152.18</v>
      </c>
      <c r="AB95" s="618">
        <f>Z95-I95</f>
        <v>169.154</v>
      </c>
      <c r="AC95" s="1270">
        <f>199</f>
        <v>199</v>
      </c>
      <c r="AD95" s="873">
        <f t="shared" si="258"/>
        <v>75.580500000000001</v>
      </c>
      <c r="AE95" s="650">
        <f>X95-U95+AD95</f>
        <v>89.030500000000004</v>
      </c>
      <c r="AF95" s="389">
        <f>2*AE95</f>
        <v>178.06100000000001</v>
      </c>
      <c r="AG95" s="390">
        <f>AF95+(23)</f>
        <v>201.06100000000001</v>
      </c>
      <c r="AH95" s="625">
        <f>AG95-I95</f>
        <v>180.315</v>
      </c>
      <c r="AI95" s="1233" t="s">
        <v>358</v>
      </c>
      <c r="AJ95" s="1040">
        <v>188</v>
      </c>
      <c r="AK95" s="875">
        <f>(2*AJ95)+(2*71)+(2*45)</f>
        <v>608</v>
      </c>
      <c r="AL95" s="877">
        <f>S95-AK95</f>
        <v>326</v>
      </c>
      <c r="AM95" s="666" t="s">
        <v>113</v>
      </c>
      <c r="AN95" s="541">
        <f>325+(23)</f>
        <v>348</v>
      </c>
      <c r="AO95" s="352">
        <f>Z95-AN95</f>
        <v>-158.1</v>
      </c>
      <c r="AQ95" s="55" t="s">
        <v>81</v>
      </c>
      <c r="AR95" s="695">
        <f t="shared" si="259"/>
        <v>37.72</v>
      </c>
      <c r="AS95" s="695">
        <f t="shared" si="260"/>
        <v>189.9</v>
      </c>
      <c r="AT95" s="695">
        <f t="shared" si="261"/>
        <v>348</v>
      </c>
      <c r="AU95" s="696">
        <f t="shared" si="262"/>
        <v>750</v>
      </c>
      <c r="AV95" s="698">
        <f t="shared" si="263"/>
        <v>326</v>
      </c>
      <c r="BC95" s="957">
        <f t="shared" si="264"/>
        <v>28</v>
      </c>
      <c r="BI95" s="1287">
        <v>1</v>
      </c>
    </row>
    <row r="96" spans="1:61" ht="333" customHeight="1">
      <c r="A96" s="799"/>
      <c r="C96" s="1042" t="s">
        <v>870</v>
      </c>
      <c r="D96" s="1427" t="s">
        <v>871</v>
      </c>
      <c r="E96" s="1445"/>
      <c r="F96" s="872" t="s">
        <v>872</v>
      </c>
      <c r="G96" s="1099" t="s">
        <v>873</v>
      </c>
      <c r="H96" s="1046" t="s">
        <v>190</v>
      </c>
      <c r="I96" s="844"/>
      <c r="J96" s="866" t="s">
        <v>572</v>
      </c>
      <c r="K96" s="1063" t="s">
        <v>206</v>
      </c>
      <c r="L96" s="866" t="s">
        <v>207</v>
      </c>
      <c r="M96" s="866" t="s">
        <v>37</v>
      </c>
      <c r="N96" s="1064" t="s">
        <v>876</v>
      </c>
      <c r="O96" s="1019"/>
      <c r="P96" s="1019"/>
      <c r="Q96" s="1019"/>
      <c r="R96" s="333"/>
      <c r="S96" s="1007" t="s">
        <v>1162</v>
      </c>
      <c r="T96" s="40" t="s">
        <v>877</v>
      </c>
      <c r="U96" s="1063" t="s">
        <v>208</v>
      </c>
      <c r="V96" s="1063" t="s">
        <v>209</v>
      </c>
      <c r="W96" s="1102" t="s">
        <v>878</v>
      </c>
      <c r="X96" s="40"/>
      <c r="Y96" s="95"/>
      <c r="Z96" s="1034" t="s">
        <v>1170</v>
      </c>
      <c r="AA96" s="143"/>
      <c r="AB96" s="1036" t="s">
        <v>220</v>
      </c>
      <c r="AC96" s="589" t="s">
        <v>879</v>
      </c>
      <c r="AD96" s="1021" t="s">
        <v>127</v>
      </c>
      <c r="AE96" s="368"/>
      <c r="AF96" s="28"/>
      <c r="AG96" s="1034" t="s">
        <v>1170</v>
      </c>
      <c r="AH96" s="369"/>
      <c r="AI96" s="828"/>
      <c r="AJ96" s="1078" t="s">
        <v>1153</v>
      </c>
      <c r="AK96" s="1098" t="s">
        <v>1</v>
      </c>
      <c r="AL96" s="753"/>
      <c r="AM96" s="753"/>
      <c r="AN96" s="752" t="s">
        <v>904</v>
      </c>
      <c r="AO96" s="343"/>
      <c r="AQ96" s="707" t="s">
        <v>906</v>
      </c>
    </row>
    <row r="97" spans="1:67" ht="15" customHeight="1">
      <c r="A97" s="799"/>
      <c r="C97" s="3"/>
      <c r="D97" s="76"/>
      <c r="E97" s="44"/>
      <c r="F97" s="45"/>
      <c r="G97" s="44"/>
      <c r="H97" s="49"/>
      <c r="I97" s="49"/>
      <c r="J97" s="182"/>
      <c r="L97" s="49"/>
      <c r="M97" s="328"/>
      <c r="N97" s="49"/>
      <c r="O97" s="49"/>
      <c r="P97" s="49"/>
      <c r="Q97" s="49"/>
      <c r="R97" s="127"/>
      <c r="S97" s="49"/>
      <c r="T97" s="342"/>
      <c r="U97" s="341"/>
      <c r="V97" s="49"/>
      <c r="W97" s="344"/>
      <c r="X97" s="49"/>
      <c r="Y97" s="36"/>
      <c r="Z97" s="36"/>
      <c r="AA97" s="328"/>
      <c r="AB97" s="343"/>
      <c r="AC97" s="253"/>
      <c r="AD97" s="366"/>
      <c r="AE97" s="131"/>
      <c r="AF97" s="28"/>
      <c r="AG97" s="28"/>
      <c r="AH97" s="137"/>
      <c r="AI97" s="137"/>
      <c r="AJ97" s="59"/>
      <c r="AK97" s="324"/>
      <c r="AL97" s="64"/>
      <c r="AM97" s="64"/>
      <c r="AN97" s="385"/>
      <c r="AO97" s="343"/>
      <c r="AV97" s="1278" t="s">
        <v>82</v>
      </c>
    </row>
    <row r="98" spans="1:67" s="12" customFormat="1">
      <c r="A98" s="799"/>
      <c r="B98" s="124"/>
      <c r="C98" s="118"/>
      <c r="D98" s="119"/>
      <c r="E98" s="135"/>
      <c r="F98" s="575"/>
      <c r="G98" s="135"/>
      <c r="H98" s="131"/>
      <c r="I98" s="140"/>
      <c r="J98" s="126"/>
      <c r="K98" s="126"/>
      <c r="L98" s="140"/>
      <c r="M98" s="356"/>
      <c r="N98" s="140"/>
      <c r="O98" s="140"/>
      <c r="P98" s="140"/>
      <c r="Q98" s="140"/>
      <c r="R98" s="127"/>
      <c r="S98" s="131"/>
      <c r="T98" s="131"/>
      <c r="U98" s="131"/>
      <c r="V98" s="131"/>
      <c r="W98" s="131"/>
      <c r="X98" s="131"/>
      <c r="Y98" s="28"/>
      <c r="Z98" s="28"/>
      <c r="AA98" s="70"/>
      <c r="AB98" s="81"/>
      <c r="AC98" s="131"/>
      <c r="AD98" s="131"/>
      <c r="AE98" s="131"/>
      <c r="AF98" s="28"/>
      <c r="AG98" s="28"/>
      <c r="AH98" s="137"/>
      <c r="AI98" s="137"/>
      <c r="AJ98" s="60"/>
      <c r="AK98" s="386"/>
      <c r="AL98" s="141"/>
      <c r="AM98" s="141"/>
      <c r="AN98" s="131"/>
      <c r="AO98" s="131"/>
      <c r="AP98" s="446"/>
      <c r="BC98" s="166"/>
    </row>
    <row r="99" spans="1:67">
      <c r="A99" s="799"/>
      <c r="B99" s="354" t="s">
        <v>54</v>
      </c>
      <c r="C99" s="1421" t="s">
        <v>503</v>
      </c>
      <c r="D99" s="1422"/>
      <c r="E99" s="1422"/>
      <c r="F99" s="1422"/>
      <c r="G99" s="1422"/>
      <c r="H99" s="1422"/>
      <c r="I99" s="1422"/>
      <c r="J99" s="1422"/>
      <c r="K99" s="1422"/>
      <c r="L99" s="1422"/>
      <c r="M99" s="1422"/>
      <c r="N99" s="1422"/>
      <c r="O99" s="1422"/>
      <c r="P99" s="1422"/>
      <c r="Q99" s="1422"/>
      <c r="R99" s="1422"/>
      <c r="S99" s="1422"/>
      <c r="T99" s="1423"/>
      <c r="U99" s="1423"/>
      <c r="V99" s="1423"/>
      <c r="W99" s="1423"/>
      <c r="X99" s="1423"/>
      <c r="Y99" s="1423"/>
      <c r="Z99" s="1423"/>
      <c r="AA99" s="1423"/>
      <c r="AB99" s="1423"/>
      <c r="AC99" s="1423"/>
      <c r="AD99" s="1423"/>
      <c r="AE99" s="1423"/>
      <c r="AF99" s="1423"/>
      <c r="AG99" s="1423"/>
      <c r="AH99" s="1423"/>
      <c r="AI99" s="1423"/>
      <c r="AJ99" s="1423"/>
      <c r="AK99" s="60"/>
      <c r="AL99" s="36"/>
      <c r="AM99" s="36"/>
      <c r="AN99" s="61"/>
      <c r="AO99" s="61"/>
    </row>
    <row r="100" spans="1:67" s="1128" customFormat="1" ht="30" customHeight="1">
      <c r="A100" s="1126"/>
      <c r="B100" s="1127"/>
      <c r="C100" s="1117" t="s">
        <v>116</v>
      </c>
      <c r="D100" s="1424" t="s">
        <v>39</v>
      </c>
      <c r="E100" s="1425"/>
      <c r="F100" s="1425"/>
      <c r="G100" s="1425"/>
      <c r="H100" s="1425"/>
      <c r="I100" s="1426"/>
      <c r="J100" s="1443" t="s">
        <v>917</v>
      </c>
      <c r="K100" s="1444"/>
      <c r="L100" s="1444"/>
      <c r="M100" s="1444"/>
      <c r="N100" s="1444"/>
      <c r="O100" s="1444"/>
      <c r="P100" s="1444"/>
      <c r="Q100" s="1444"/>
      <c r="R100" s="1439" t="s">
        <v>22</v>
      </c>
      <c r="S100" s="1441"/>
      <c r="T100" s="1409" t="s">
        <v>136</v>
      </c>
      <c r="U100" s="1410"/>
      <c r="V100" s="1410"/>
      <c r="W100" s="1410"/>
      <c r="X100" s="1410"/>
      <c r="Y100" s="1411" t="s">
        <v>126</v>
      </c>
      <c r="Z100" s="1412"/>
      <c r="AA100" s="1141"/>
      <c r="AB100" s="1142"/>
      <c r="AC100" s="1413" t="s">
        <v>101</v>
      </c>
      <c r="AD100" s="1414"/>
      <c r="AE100" s="1414"/>
      <c r="AF100" s="1415" t="s">
        <v>23</v>
      </c>
      <c r="AG100" s="1416"/>
      <c r="AH100" s="1143"/>
      <c r="AI100" s="1434" t="s">
        <v>25</v>
      </c>
      <c r="AJ100" s="1435"/>
      <c r="AK100" s="1435"/>
      <c r="AL100" s="1435"/>
      <c r="AM100" s="1435"/>
      <c r="AN100" s="1436"/>
      <c r="AO100" s="1120"/>
      <c r="AP100" s="1125"/>
      <c r="AV100" s="1315" t="s">
        <v>82</v>
      </c>
      <c r="BC100" s="1129"/>
    </row>
    <row r="101" spans="1:67">
      <c r="A101" s="799"/>
      <c r="C101" s="507"/>
      <c r="D101" s="86">
        <v>1</v>
      </c>
      <c r="E101" s="38">
        <f>D101+1</f>
        <v>2</v>
      </c>
      <c r="F101" s="574">
        <f>E101+1</f>
        <v>3</v>
      </c>
      <c r="G101" s="38">
        <f>F101+1</f>
        <v>4</v>
      </c>
      <c r="H101" s="38">
        <f>G101+1</f>
        <v>5</v>
      </c>
      <c r="I101" s="87">
        <f>H101+1</f>
        <v>6</v>
      </c>
      <c r="J101" s="86">
        <f t="shared" ref="J101:Q101" si="266">I101+1</f>
        <v>7</v>
      </c>
      <c r="K101" s="117">
        <f>J101+1</f>
        <v>8</v>
      </c>
      <c r="L101" s="38">
        <f>K101+1</f>
        <v>9</v>
      </c>
      <c r="M101" s="38">
        <f t="shared" si="266"/>
        <v>10</v>
      </c>
      <c r="N101" s="38">
        <f t="shared" si="266"/>
        <v>11</v>
      </c>
      <c r="O101" s="38">
        <f t="shared" si="266"/>
        <v>12</v>
      </c>
      <c r="P101" s="38">
        <f t="shared" si="266"/>
        <v>13</v>
      </c>
      <c r="Q101" s="38">
        <f t="shared" si="266"/>
        <v>14</v>
      </c>
      <c r="R101" s="358">
        <f t="shared" ref="R101:AO101" si="267">Q101+1</f>
        <v>15</v>
      </c>
      <c r="S101" s="359">
        <f t="shared" si="267"/>
        <v>16</v>
      </c>
      <c r="T101" s="86">
        <f t="shared" si="267"/>
        <v>17</v>
      </c>
      <c r="U101" s="38">
        <f t="shared" si="267"/>
        <v>18</v>
      </c>
      <c r="V101" s="38">
        <f t="shared" si="267"/>
        <v>19</v>
      </c>
      <c r="W101" s="38">
        <f t="shared" si="267"/>
        <v>20</v>
      </c>
      <c r="X101" s="38">
        <f t="shared" si="267"/>
        <v>21</v>
      </c>
      <c r="Y101" s="358">
        <f t="shared" si="267"/>
        <v>22</v>
      </c>
      <c r="Z101" s="359">
        <f t="shared" si="267"/>
        <v>23</v>
      </c>
      <c r="AA101" s="86">
        <f t="shared" si="267"/>
        <v>24</v>
      </c>
      <c r="AB101" s="87">
        <f t="shared" si="267"/>
        <v>25</v>
      </c>
      <c r="AC101" s="358">
        <f t="shared" si="267"/>
        <v>26</v>
      </c>
      <c r="AD101" s="117">
        <f t="shared" si="267"/>
        <v>27</v>
      </c>
      <c r="AE101" s="117">
        <f t="shared" si="267"/>
        <v>28</v>
      </c>
      <c r="AF101" s="358">
        <f t="shared" si="267"/>
        <v>29</v>
      </c>
      <c r="AG101" s="359">
        <f t="shared" si="267"/>
        <v>30</v>
      </c>
      <c r="AH101" s="359">
        <f t="shared" si="267"/>
        <v>31</v>
      </c>
      <c r="AI101" s="364">
        <f>AH101+1</f>
        <v>32</v>
      </c>
      <c r="AJ101" s="38">
        <f>AI101+1</f>
        <v>33</v>
      </c>
      <c r="AK101" s="38">
        <f t="shared" si="267"/>
        <v>34</v>
      </c>
      <c r="AL101" s="38">
        <f t="shared" si="267"/>
        <v>35</v>
      </c>
      <c r="AM101" s="38">
        <f t="shared" ref="AM101" si="268">AL101+1</f>
        <v>36</v>
      </c>
      <c r="AN101" s="359">
        <f>AM101+1</f>
        <v>37</v>
      </c>
      <c r="AO101" s="87">
        <f t="shared" si="267"/>
        <v>38</v>
      </c>
      <c r="AP101" s="557"/>
      <c r="AQ101" s="6"/>
      <c r="AR101" s="6"/>
      <c r="AS101" s="6"/>
      <c r="AT101" s="6"/>
    </row>
    <row r="102" spans="1:67" ht="120" customHeight="1">
      <c r="A102" s="799"/>
      <c r="C102" s="1044" t="s">
        <v>573</v>
      </c>
      <c r="D102" s="1026" t="s">
        <v>574</v>
      </c>
      <c r="E102" s="1025" t="s">
        <v>894</v>
      </c>
      <c r="F102" s="1025" t="s">
        <v>407</v>
      </c>
      <c r="G102" s="1025" t="s">
        <v>408</v>
      </c>
      <c r="H102" s="418" t="s">
        <v>409</v>
      </c>
      <c r="I102" s="820" t="s">
        <v>507</v>
      </c>
      <c r="J102" s="1087" t="s">
        <v>895</v>
      </c>
      <c r="K102" s="1054" t="s">
        <v>575</v>
      </c>
      <c r="L102" s="1054" t="s">
        <v>576</v>
      </c>
      <c r="M102" s="1054" t="s">
        <v>577</v>
      </c>
      <c r="N102" s="1054" t="s">
        <v>578</v>
      </c>
      <c r="O102" s="1054" t="s">
        <v>579</v>
      </c>
      <c r="P102" s="1054" t="s">
        <v>580</v>
      </c>
      <c r="Q102" s="1104" t="s">
        <v>418</v>
      </c>
      <c r="R102" s="488" t="s">
        <v>514</v>
      </c>
      <c r="S102" s="322" t="s">
        <v>448</v>
      </c>
      <c r="T102" s="1030" t="s">
        <v>581</v>
      </c>
      <c r="U102" s="819" t="s">
        <v>582</v>
      </c>
      <c r="V102" s="819" t="s">
        <v>583</v>
      </c>
      <c r="W102" s="819" t="s">
        <v>584</v>
      </c>
      <c r="X102" s="1101" t="s">
        <v>585</v>
      </c>
      <c r="Y102" s="175" t="s">
        <v>425</v>
      </c>
      <c r="Z102" s="545" t="s">
        <v>520</v>
      </c>
      <c r="AA102" s="819" t="s">
        <v>427</v>
      </c>
      <c r="AB102" s="819" t="s">
        <v>428</v>
      </c>
      <c r="AC102" s="1026" t="s">
        <v>429</v>
      </c>
      <c r="AD102" s="819" t="s">
        <v>541</v>
      </c>
      <c r="AE102" s="819" t="s">
        <v>529</v>
      </c>
      <c r="AF102" s="154" t="s">
        <v>523</v>
      </c>
      <c r="AG102" s="568" t="s">
        <v>570</v>
      </c>
      <c r="AH102" s="1031" t="s">
        <v>525</v>
      </c>
      <c r="AI102" s="1025" t="s">
        <v>346</v>
      </c>
      <c r="AJ102" s="1032" t="s">
        <v>435</v>
      </c>
      <c r="AK102" s="1111" t="s">
        <v>0</v>
      </c>
      <c r="AL102" s="1112" t="s">
        <v>26</v>
      </c>
      <c r="AM102" s="819" t="s">
        <v>402</v>
      </c>
      <c r="AN102" s="820" t="s">
        <v>343</v>
      </c>
      <c r="AO102" s="470" t="s">
        <v>436</v>
      </c>
      <c r="AQ102" s="1044" t="s">
        <v>586</v>
      </c>
      <c r="AR102" s="418" t="s">
        <v>438</v>
      </c>
      <c r="AS102" s="418" t="s">
        <v>439</v>
      </c>
      <c r="AT102" s="361" t="s">
        <v>440</v>
      </c>
      <c r="AU102" s="861" t="s">
        <v>403</v>
      </c>
      <c r="AV102" s="861" t="s">
        <v>746</v>
      </c>
      <c r="BC102" s="978" t="s">
        <v>779</v>
      </c>
    </row>
    <row r="103" spans="1:67" ht="14" customHeight="1">
      <c r="A103" s="799">
        <f>A95+1</f>
        <v>37</v>
      </c>
      <c r="B103" s="765">
        <f>B83+1</f>
        <v>9</v>
      </c>
      <c r="C103" s="273" t="s">
        <v>216</v>
      </c>
      <c r="D103" s="630">
        <v>128</v>
      </c>
      <c r="E103" s="877">
        <f t="shared" ref="E103" si="269">2*D103</f>
        <v>256</v>
      </c>
      <c r="F103" s="877">
        <f>2*126</f>
        <v>252</v>
      </c>
      <c r="G103" s="629">
        <f t="shared" ref="G103" si="270">F103*1.15</f>
        <v>289.79999999999995</v>
      </c>
      <c r="H103" s="236">
        <f t="shared" ref="H103" si="271">(E103*0.23)</f>
        <v>58.88</v>
      </c>
      <c r="I103" s="235">
        <f t="shared" ref="I103:I104" si="272">0.5*(H103*1.1)</f>
        <v>32.384000000000007</v>
      </c>
      <c r="J103" s="1071" t="s">
        <v>112</v>
      </c>
      <c r="K103" s="1071" t="s">
        <v>112</v>
      </c>
      <c r="L103" s="1105">
        <f>102-44</f>
        <v>58</v>
      </c>
      <c r="M103" s="1071" t="s">
        <v>112</v>
      </c>
      <c r="N103" s="1071" t="s">
        <v>112</v>
      </c>
      <c r="O103" s="1071" t="s">
        <v>112</v>
      </c>
      <c r="P103" s="1071" t="s">
        <v>112</v>
      </c>
      <c r="Q103" s="701">
        <f>SUM(J103:P103)</f>
        <v>58</v>
      </c>
      <c r="R103" s="303">
        <f t="shared" ref="R103" si="273">2*Q103</f>
        <v>116</v>
      </c>
      <c r="S103" s="340">
        <f t="shared" ref="S103" si="274">R103+(2*71)</f>
        <v>258</v>
      </c>
      <c r="T103" s="608">
        <v>0</v>
      </c>
      <c r="U103" s="608">
        <v>0</v>
      </c>
      <c r="V103" s="632" t="s">
        <v>112</v>
      </c>
      <c r="W103" s="609">
        <v>62</v>
      </c>
      <c r="X103" s="612">
        <f t="shared" ref="X103" si="275">SUM(T103:W103)</f>
        <v>62</v>
      </c>
      <c r="Y103" s="510">
        <f t="shared" ref="Y103" si="276">2*X103</f>
        <v>124</v>
      </c>
      <c r="Z103" s="517">
        <f t="shared" ref="Z103" si="277">Y103+(23)</f>
        <v>147</v>
      </c>
      <c r="AA103" s="612">
        <f t="shared" ref="AA103" si="278">Z103-H103</f>
        <v>88.12</v>
      </c>
      <c r="AB103" s="618">
        <f t="shared" ref="AB103" si="279">Z103-I103</f>
        <v>114.61599999999999</v>
      </c>
      <c r="AC103" s="630">
        <v>127</v>
      </c>
      <c r="AD103" s="871">
        <f t="shared" ref="AD103" si="280">33.89+(0.2095*AC103)</f>
        <v>60.496499999999997</v>
      </c>
      <c r="AE103" s="612">
        <f t="shared" ref="AE103" si="281">X103-T103+AD103</f>
        <v>122.4965</v>
      </c>
      <c r="AF103" s="240">
        <f t="shared" ref="AF103" si="282">2*AE103</f>
        <v>244.99299999999999</v>
      </c>
      <c r="AG103" s="241">
        <f t="shared" ref="AG103" si="283">AF103+(23)</f>
        <v>267.99299999999999</v>
      </c>
      <c r="AH103" s="625">
        <f t="shared" ref="AH103" si="284">AG103-I103</f>
        <v>235.60899999999998</v>
      </c>
      <c r="AI103" s="1076" t="s">
        <v>1147</v>
      </c>
      <c r="AJ103" s="1071">
        <v>255</v>
      </c>
      <c r="AK103" s="1075">
        <f t="shared" ref="AK103" si="285">(2*AJ103)+(2*71)+(2*45)</f>
        <v>742</v>
      </c>
      <c r="AL103" s="1071">
        <f t="shared" ref="AL103" si="286">S103-AK103</f>
        <v>-484</v>
      </c>
      <c r="AM103" s="612">
        <v>15</v>
      </c>
      <c r="AN103" s="235">
        <f>466+(1*23)+AM103</f>
        <v>504</v>
      </c>
      <c r="AO103" s="236">
        <f t="shared" ref="AO103" si="287">Z103-AN103</f>
        <v>-357</v>
      </c>
      <c r="AP103" s="560"/>
      <c r="AQ103" s="273" t="s">
        <v>217</v>
      </c>
      <c r="AR103" s="695">
        <f>H103</f>
        <v>58.88</v>
      </c>
      <c r="AS103" s="695">
        <f>Z103</f>
        <v>147</v>
      </c>
      <c r="AT103" s="695">
        <f>AN103</f>
        <v>504</v>
      </c>
      <c r="AU103" s="696">
        <f>S103-G103</f>
        <v>-31.799999999999955</v>
      </c>
      <c r="AV103" s="698">
        <f>AL103</f>
        <v>-484</v>
      </c>
      <c r="BC103" s="961">
        <f>B103</f>
        <v>9</v>
      </c>
      <c r="BH103" s="1287">
        <v>1</v>
      </c>
    </row>
    <row r="104" spans="1:67" s="242" customFormat="1">
      <c r="A104" s="795">
        <f>A103+1</f>
        <v>38</v>
      </c>
      <c r="B104" s="771">
        <f>B95+1</f>
        <v>29</v>
      </c>
      <c r="C104" s="586" t="s">
        <v>340</v>
      </c>
      <c r="D104" s="630">
        <v>101</v>
      </c>
      <c r="E104" s="877">
        <f>2*D104</f>
        <v>202</v>
      </c>
      <c r="F104" s="877">
        <f>2*96</f>
        <v>192</v>
      </c>
      <c r="G104" s="629">
        <f>F104*1.15</f>
        <v>220.79999999999998</v>
      </c>
      <c r="H104" s="550">
        <f>0.23*E104</f>
        <v>46.46</v>
      </c>
      <c r="I104" s="235">
        <f t="shared" si="272"/>
        <v>25.553000000000001</v>
      </c>
      <c r="J104" s="1071" t="s">
        <v>112</v>
      </c>
      <c r="K104" s="1071" t="s">
        <v>112</v>
      </c>
      <c r="L104" s="1071" t="s">
        <v>112</v>
      </c>
      <c r="M104" s="1071">
        <v>132</v>
      </c>
      <c r="N104" s="1071" t="s">
        <v>112</v>
      </c>
      <c r="O104" s="1071" t="s">
        <v>112</v>
      </c>
      <c r="P104" s="1071" t="s">
        <v>112</v>
      </c>
      <c r="Q104" s="897">
        <f>SUM(J104:P104)</f>
        <v>132</v>
      </c>
      <c r="R104" s="323">
        <f>2*Q104</f>
        <v>264</v>
      </c>
      <c r="S104" s="287">
        <f>R104+(2*71)</f>
        <v>406</v>
      </c>
      <c r="T104" s="609">
        <v>0</v>
      </c>
      <c r="U104" s="609">
        <v>13</v>
      </c>
      <c r="V104" s="632">
        <v>0</v>
      </c>
      <c r="W104" s="632">
        <v>0</v>
      </c>
      <c r="X104" s="608">
        <f>SUM(T104:W104)</f>
        <v>13</v>
      </c>
      <c r="Y104" s="515">
        <f>2*X104</f>
        <v>26</v>
      </c>
      <c r="Z104" s="516">
        <f>Y104+(23)</f>
        <v>49</v>
      </c>
      <c r="AA104" s="652">
        <f>Z104-H104</f>
        <v>2.5399999999999991</v>
      </c>
      <c r="AB104" s="653">
        <f>Z104-I104</f>
        <v>23.446999999999999</v>
      </c>
      <c r="AC104" s="630">
        <v>0</v>
      </c>
      <c r="AD104" s="612">
        <v>0</v>
      </c>
      <c r="AE104" s="612">
        <f>X104-W104+AD104</f>
        <v>13</v>
      </c>
      <c r="AF104" s="382">
        <f>2*AE104</f>
        <v>26</v>
      </c>
      <c r="AG104" s="388">
        <f>AF104+(23)</f>
        <v>49</v>
      </c>
      <c r="AH104" s="652">
        <f>AG104-I104</f>
        <v>23.446999999999999</v>
      </c>
      <c r="AI104" s="892" t="s">
        <v>901</v>
      </c>
      <c r="AJ104" s="897">
        <v>255</v>
      </c>
      <c r="AK104" s="1071">
        <f>(2*AJ104)+(2*71)+(2*45)</f>
        <v>742</v>
      </c>
      <c r="AL104" s="1071">
        <f>S104-AK104</f>
        <v>-336</v>
      </c>
      <c r="AM104" s="666" t="s">
        <v>113</v>
      </c>
      <c r="AN104" s="235">
        <f>736+(1*23)</f>
        <v>759</v>
      </c>
      <c r="AO104" s="236">
        <f>Z104-AN104</f>
        <v>-710</v>
      </c>
      <c r="AP104" s="453"/>
      <c r="AQ104" s="273" t="s">
        <v>905</v>
      </c>
      <c r="AR104" s="695">
        <f t="shared" ref="AR104:AR107" si="288">H104</f>
        <v>46.46</v>
      </c>
      <c r="AS104" s="695">
        <f t="shared" ref="AS104:AS107" si="289">Z104</f>
        <v>49</v>
      </c>
      <c r="AT104" s="695">
        <f t="shared" ref="AT104:AT107" si="290">AN104</f>
        <v>759</v>
      </c>
      <c r="AU104" s="696">
        <f t="shared" ref="AU104:AU107" si="291">S104-G104</f>
        <v>185.20000000000002</v>
      </c>
      <c r="AV104" s="698">
        <f t="shared" ref="AV104:AV107" si="292">AL104</f>
        <v>-336</v>
      </c>
      <c r="AZ104" s="228"/>
      <c r="BA104" s="293"/>
      <c r="BB104" s="294"/>
      <c r="BC104" s="957">
        <f t="shared" ref="BC104:BC107" si="293">B104</f>
        <v>29</v>
      </c>
      <c r="BF104" s="1287">
        <v>1</v>
      </c>
    </row>
    <row r="105" spans="1:67" s="147" customFormat="1">
      <c r="A105" s="795">
        <f t="shared" ref="A105:A107" si="294">A104+1</f>
        <v>39</v>
      </c>
      <c r="B105" s="771">
        <f>B104+1</f>
        <v>30</v>
      </c>
      <c r="C105" s="772" t="s">
        <v>263</v>
      </c>
      <c r="D105" s="630">
        <v>172</v>
      </c>
      <c r="E105" s="877">
        <f>(2*D105)</f>
        <v>344</v>
      </c>
      <c r="F105" s="877">
        <f>(2*156)</f>
        <v>312</v>
      </c>
      <c r="G105" s="629">
        <f>F105*1.15</f>
        <v>358.79999999999995</v>
      </c>
      <c r="H105" s="550">
        <f t="shared" ref="H105:H107" si="295">0.23*E105</f>
        <v>79.12</v>
      </c>
      <c r="I105" s="235">
        <f>0.5*(H105*1.1)</f>
        <v>43.516000000000005</v>
      </c>
      <c r="J105" s="1071" t="s">
        <v>112</v>
      </c>
      <c r="K105" s="897">
        <v>15</v>
      </c>
      <c r="L105" s="897">
        <f>125-102</f>
        <v>23</v>
      </c>
      <c r="M105" s="1071">
        <f>125-102</f>
        <v>23</v>
      </c>
      <c r="N105" s="1106">
        <v>240</v>
      </c>
      <c r="O105" s="1071" t="s">
        <v>112</v>
      </c>
      <c r="P105" s="1071" t="s">
        <v>112</v>
      </c>
      <c r="Q105" s="1106">
        <f>SUM(J105:P105)</f>
        <v>301</v>
      </c>
      <c r="R105" s="323">
        <f>2*Q105</f>
        <v>602</v>
      </c>
      <c r="S105" s="287">
        <f>R105+(2*71)</f>
        <v>744</v>
      </c>
      <c r="T105" s="609">
        <v>40</v>
      </c>
      <c r="U105" s="608">
        <v>0</v>
      </c>
      <c r="V105" s="608">
        <v>10</v>
      </c>
      <c r="W105" s="632">
        <v>0</v>
      </c>
      <c r="X105" s="608">
        <f>SUM(T105:W105)</f>
        <v>50</v>
      </c>
      <c r="Y105" s="510">
        <f>2*X105</f>
        <v>100</v>
      </c>
      <c r="Z105" s="516">
        <f>Y105+(23)</f>
        <v>123</v>
      </c>
      <c r="AA105" s="612">
        <f>Z105-H105</f>
        <v>43.879999999999995</v>
      </c>
      <c r="AB105" s="618">
        <f>Z105-I105</f>
        <v>79.483999999999995</v>
      </c>
      <c r="AC105" s="630">
        <v>0</v>
      </c>
      <c r="AD105" s="612">
        <v>0</v>
      </c>
      <c r="AE105" s="612">
        <f>X105-W105+AD105</f>
        <v>50</v>
      </c>
      <c r="AF105" s="240">
        <f>2*AE105</f>
        <v>100</v>
      </c>
      <c r="AG105" s="388">
        <f>AF105+(2*23)</f>
        <v>146</v>
      </c>
      <c r="AH105" s="612">
        <f>AG105-I105</f>
        <v>102.48399999999999</v>
      </c>
      <c r="AI105" s="617" t="s">
        <v>902</v>
      </c>
      <c r="AJ105" s="1071">
        <v>220</v>
      </c>
      <c r="AK105" s="1071">
        <f>(2*AJ105)+(2*71)+(2*45)</f>
        <v>672</v>
      </c>
      <c r="AL105" s="1075">
        <f>S105-AK105</f>
        <v>72</v>
      </c>
      <c r="AM105" s="666" t="s">
        <v>113</v>
      </c>
      <c r="AN105" s="235">
        <f>510+(1*23)</f>
        <v>533</v>
      </c>
      <c r="AO105" s="236">
        <f>Z105-AN105</f>
        <v>-410</v>
      </c>
      <c r="AP105" s="453"/>
      <c r="AQ105" s="278" t="s">
        <v>215</v>
      </c>
      <c r="AR105" s="695">
        <f t="shared" si="288"/>
        <v>79.12</v>
      </c>
      <c r="AS105" s="695">
        <f t="shared" si="289"/>
        <v>123</v>
      </c>
      <c r="AT105" s="695">
        <f t="shared" si="290"/>
        <v>533</v>
      </c>
      <c r="AU105" s="696">
        <f t="shared" si="291"/>
        <v>385.20000000000005</v>
      </c>
      <c r="AV105" s="698">
        <f t="shared" si="292"/>
        <v>72</v>
      </c>
      <c r="BC105" s="957">
        <f t="shared" si="293"/>
        <v>30</v>
      </c>
      <c r="BO105" s="147">
        <v>1</v>
      </c>
    </row>
    <row r="106" spans="1:67" s="242" customFormat="1">
      <c r="A106" s="795">
        <f t="shared" si="294"/>
        <v>40</v>
      </c>
      <c r="B106" s="771">
        <f>B105+1</f>
        <v>31</v>
      </c>
      <c r="C106" s="586" t="s">
        <v>264</v>
      </c>
      <c r="D106" s="630">
        <v>84</v>
      </c>
      <c r="E106" s="877">
        <f>(2*D106)</f>
        <v>168</v>
      </c>
      <c r="F106" s="877">
        <f>(2*91)</f>
        <v>182</v>
      </c>
      <c r="G106" s="629">
        <f>F106*1.15</f>
        <v>209.29999999999998</v>
      </c>
      <c r="H106" s="550">
        <f t="shared" si="295"/>
        <v>38.64</v>
      </c>
      <c r="I106" s="235">
        <f>0.5*(H106*1.1)</f>
        <v>21.252000000000002</v>
      </c>
      <c r="J106" s="1071">
        <f>240-200</f>
        <v>40</v>
      </c>
      <c r="K106" s="897">
        <v>15</v>
      </c>
      <c r="L106" s="897">
        <f>102-70</f>
        <v>32</v>
      </c>
      <c r="M106" s="1071" t="s">
        <v>112</v>
      </c>
      <c r="N106" s="1071" t="s">
        <v>112</v>
      </c>
      <c r="O106" s="1071" t="s">
        <v>112</v>
      </c>
      <c r="P106" s="1071" t="s">
        <v>112</v>
      </c>
      <c r="Q106" s="1106">
        <f>SUM(J106:P106)</f>
        <v>87</v>
      </c>
      <c r="R106" s="323">
        <f>2*Q106</f>
        <v>174</v>
      </c>
      <c r="S106" s="287">
        <f>R106+(2*71)</f>
        <v>316</v>
      </c>
      <c r="T106" s="609">
        <v>0</v>
      </c>
      <c r="U106" s="608">
        <v>0</v>
      </c>
      <c r="V106" s="609">
        <v>1</v>
      </c>
      <c r="W106" s="609">
        <v>58</v>
      </c>
      <c r="X106" s="608">
        <f>SUM(T106:W106)</f>
        <v>59</v>
      </c>
      <c r="Y106" s="510">
        <f>2*X106</f>
        <v>118</v>
      </c>
      <c r="Z106" s="516">
        <f>Y106+(23)</f>
        <v>141</v>
      </c>
      <c r="AA106" s="612">
        <f>Z106-H106</f>
        <v>102.36</v>
      </c>
      <c r="AB106" s="618">
        <f>Z106-I106</f>
        <v>119.74799999999999</v>
      </c>
      <c r="AC106" s="630">
        <v>0</v>
      </c>
      <c r="AD106" s="612">
        <v>0</v>
      </c>
      <c r="AE106" s="612">
        <f>X106+AD106</f>
        <v>59</v>
      </c>
      <c r="AF106" s="240">
        <f>2*AE106</f>
        <v>118</v>
      </c>
      <c r="AG106" s="388">
        <f>AF106+(2*23)</f>
        <v>164</v>
      </c>
      <c r="AH106" s="612">
        <f>AG106-I106</f>
        <v>142.74799999999999</v>
      </c>
      <c r="AI106" s="892" t="s">
        <v>900</v>
      </c>
      <c r="AJ106" s="1071">
        <v>255</v>
      </c>
      <c r="AK106" s="1071">
        <f>(2*AJ106)+(2*71)+(2*45)</f>
        <v>742</v>
      </c>
      <c r="AL106" s="1088">
        <f>S106-AK106</f>
        <v>-426</v>
      </c>
      <c r="AM106" s="612">
        <f>15+15</f>
        <v>30</v>
      </c>
      <c r="AN106" s="235">
        <f>466+(1*23)+AM106</f>
        <v>519</v>
      </c>
      <c r="AO106" s="236">
        <f>Z106-AN106</f>
        <v>-378</v>
      </c>
      <c r="AP106" s="453"/>
      <c r="AQ106" s="273" t="s">
        <v>85</v>
      </c>
      <c r="AR106" s="695">
        <f t="shared" si="288"/>
        <v>38.64</v>
      </c>
      <c r="AS106" s="695">
        <f t="shared" si="289"/>
        <v>141</v>
      </c>
      <c r="AT106" s="695">
        <f t="shared" si="290"/>
        <v>519</v>
      </c>
      <c r="AU106" s="696">
        <f t="shared" si="291"/>
        <v>106.70000000000002</v>
      </c>
      <c r="AV106" s="698">
        <f t="shared" si="292"/>
        <v>-426</v>
      </c>
      <c r="BC106" s="957">
        <f t="shared" si="293"/>
        <v>31</v>
      </c>
      <c r="BI106" s="1287">
        <v>1</v>
      </c>
    </row>
    <row r="107" spans="1:67" s="277" customFormat="1">
      <c r="A107" s="795">
        <f t="shared" si="294"/>
        <v>41</v>
      </c>
      <c r="B107" s="771">
        <f>B106+1</f>
        <v>32</v>
      </c>
      <c r="C107" s="273" t="s">
        <v>265</v>
      </c>
      <c r="D107" s="630">
        <v>141</v>
      </c>
      <c r="E107" s="877">
        <f>(2*D107)</f>
        <v>282</v>
      </c>
      <c r="F107" s="877">
        <v>148</v>
      </c>
      <c r="G107" s="629">
        <f>F107*1.15</f>
        <v>170.2</v>
      </c>
      <c r="H107" s="550">
        <f t="shared" si="295"/>
        <v>64.86</v>
      </c>
      <c r="I107" s="235">
        <f>0.5*(H107*1.1)</f>
        <v>35.673000000000002</v>
      </c>
      <c r="J107" s="1071" t="s">
        <v>112</v>
      </c>
      <c r="K107" s="1071">
        <v>0</v>
      </c>
      <c r="L107" s="1071" t="s">
        <v>112</v>
      </c>
      <c r="M107" s="1071">
        <v>160</v>
      </c>
      <c r="N107" s="1071" t="s">
        <v>112</v>
      </c>
      <c r="O107" s="1071" t="s">
        <v>112</v>
      </c>
      <c r="P107" s="1071" t="s">
        <v>112</v>
      </c>
      <c r="Q107" s="1071">
        <f>SUM(J107:P107)</f>
        <v>160</v>
      </c>
      <c r="R107" s="323">
        <f>2*Q107</f>
        <v>320</v>
      </c>
      <c r="S107" s="287">
        <f>R107+(2*71)</f>
        <v>462</v>
      </c>
      <c r="T107" s="644">
        <v>0</v>
      </c>
      <c r="U107" s="608">
        <v>13</v>
      </c>
      <c r="V107" s="609">
        <v>8.75</v>
      </c>
      <c r="W107" s="608">
        <v>0</v>
      </c>
      <c r="X107" s="608">
        <f>SUM(T107:W107)</f>
        <v>21.75</v>
      </c>
      <c r="Y107" s="515">
        <f>2*X107</f>
        <v>43.5</v>
      </c>
      <c r="Z107" s="516">
        <f>Y107+(23)</f>
        <v>66.5</v>
      </c>
      <c r="AA107" s="654">
        <f>Z107-H107</f>
        <v>1.6400000000000006</v>
      </c>
      <c r="AB107" s="653">
        <f>Z107-I107</f>
        <v>30.826999999999998</v>
      </c>
      <c r="AC107" s="630">
        <v>0</v>
      </c>
      <c r="AD107" s="612">
        <v>0</v>
      </c>
      <c r="AE107" s="612">
        <f>X107-W107+AD107</f>
        <v>21.75</v>
      </c>
      <c r="AF107" s="240">
        <f>2*AE107</f>
        <v>43.5</v>
      </c>
      <c r="AG107" s="388">
        <f>AF107+(2*23)</f>
        <v>89.5</v>
      </c>
      <c r="AH107" s="654">
        <f>AG107-I107</f>
        <v>53.826999999999998</v>
      </c>
      <c r="AI107" s="892" t="s">
        <v>903</v>
      </c>
      <c r="AJ107" s="1071">
        <v>240</v>
      </c>
      <c r="AK107" s="1071">
        <f>(2*AJ107)+(2*71)+(2*45)</f>
        <v>712</v>
      </c>
      <c r="AL107" s="1088">
        <f>S107-AK107</f>
        <v>-250</v>
      </c>
      <c r="AM107" s="612">
        <v>15</v>
      </c>
      <c r="AN107" s="235">
        <f>(906)+(1*23)+AM107</f>
        <v>944</v>
      </c>
      <c r="AO107" s="236">
        <f>Z107-AN107</f>
        <v>-877.5</v>
      </c>
      <c r="AP107" s="561"/>
      <c r="AQ107" s="273" t="s">
        <v>86</v>
      </c>
      <c r="AR107" s="695">
        <f t="shared" si="288"/>
        <v>64.86</v>
      </c>
      <c r="AS107" s="695">
        <f t="shared" si="289"/>
        <v>66.5</v>
      </c>
      <c r="AT107" s="695">
        <f t="shared" si="290"/>
        <v>944</v>
      </c>
      <c r="AU107" s="696">
        <f t="shared" si="291"/>
        <v>291.8</v>
      </c>
      <c r="AV107" s="698">
        <f t="shared" si="292"/>
        <v>-250</v>
      </c>
      <c r="BC107" s="957">
        <f t="shared" si="293"/>
        <v>32</v>
      </c>
      <c r="BE107" s="825"/>
      <c r="BF107" s="1287">
        <v>1</v>
      </c>
    </row>
    <row r="108" spans="1:67" ht="326" customHeight="1">
      <c r="A108" s="799"/>
      <c r="C108" s="1044" t="s">
        <v>587</v>
      </c>
      <c r="D108" s="1427" t="s">
        <v>910</v>
      </c>
      <c r="E108" s="1445"/>
      <c r="F108" s="872" t="s">
        <v>872</v>
      </c>
      <c r="G108" s="1099" t="s">
        <v>873</v>
      </c>
      <c r="H108" s="1046" t="s">
        <v>190</v>
      </c>
      <c r="I108" s="844"/>
      <c r="J108" s="1005" t="s">
        <v>210</v>
      </c>
      <c r="K108" s="1005" t="s">
        <v>896</v>
      </c>
      <c r="L108" s="1107"/>
      <c r="M108" s="1005" t="s">
        <v>211</v>
      </c>
      <c r="N108" s="1005" t="s">
        <v>212</v>
      </c>
      <c r="O108" s="1005" t="s">
        <v>108</v>
      </c>
      <c r="P108" s="1077" t="s">
        <v>213</v>
      </c>
      <c r="Q108" s="1108"/>
      <c r="R108" s="333"/>
      <c r="S108" s="1007" t="s">
        <v>1162</v>
      </c>
      <c r="T108" s="847"/>
      <c r="U108" s="1109" t="s">
        <v>898</v>
      </c>
      <c r="V108" s="751" t="s">
        <v>897</v>
      </c>
      <c r="W108" s="866" t="s">
        <v>214</v>
      </c>
      <c r="X108" s="39"/>
      <c r="Y108" s="97"/>
      <c r="Z108" s="1067" t="s">
        <v>1170</v>
      </c>
      <c r="AA108" s="143"/>
      <c r="AB108" s="1036" t="s">
        <v>220</v>
      </c>
      <c r="AC108" s="589" t="s">
        <v>899</v>
      </c>
      <c r="AD108" s="1110" t="s">
        <v>127</v>
      </c>
      <c r="AE108" s="120"/>
      <c r="AF108" s="214"/>
      <c r="AG108" s="1067" t="s">
        <v>1170</v>
      </c>
      <c r="AH108" s="363"/>
      <c r="AI108" s="1077"/>
      <c r="AJ108" s="1078" t="s">
        <v>1153</v>
      </c>
      <c r="AK108" s="1090" t="s">
        <v>2</v>
      </c>
      <c r="AL108" s="1113"/>
      <c r="AM108" s="753"/>
      <c r="AN108" s="752" t="s">
        <v>904</v>
      </c>
      <c r="AO108" s="61"/>
      <c r="AQ108" s="1091" t="s">
        <v>907</v>
      </c>
      <c r="AR108" s="9"/>
      <c r="AS108" s="27"/>
      <c r="BH108" t="s">
        <v>82</v>
      </c>
    </row>
    <row r="109" spans="1:67">
      <c r="A109" s="799"/>
      <c r="AV109" s="1278" t="s">
        <v>82</v>
      </c>
    </row>
    <row r="110" spans="1:67" s="12" customFormat="1">
      <c r="A110" s="799"/>
      <c r="B110" s="124"/>
      <c r="C110" s="118"/>
      <c r="D110" s="118"/>
      <c r="E110" s="135"/>
      <c r="F110" s="575"/>
      <c r="G110" s="135"/>
      <c r="H110" s="131"/>
      <c r="I110" s="140"/>
      <c r="J110" s="126"/>
      <c r="K110" s="126"/>
      <c r="L110" s="140"/>
      <c r="M110" s="140"/>
      <c r="N110" s="140"/>
      <c r="O110" s="140"/>
      <c r="P110" s="140"/>
      <c r="Q110" s="140"/>
      <c r="R110" s="127"/>
      <c r="S110" s="131"/>
      <c r="T110" s="131"/>
      <c r="U110" s="131"/>
      <c r="V110" s="131"/>
      <c r="W110" s="131"/>
      <c r="X110" s="131"/>
      <c r="Y110" s="28"/>
      <c r="Z110" s="28"/>
      <c r="AA110" s="70"/>
      <c r="AB110" s="81"/>
      <c r="AC110" s="131"/>
      <c r="AD110" s="131"/>
      <c r="AE110" s="131"/>
      <c r="AF110" s="28"/>
      <c r="AG110" s="28"/>
      <c r="AH110" s="137"/>
      <c r="AI110" s="137"/>
      <c r="AJ110" s="60"/>
      <c r="AK110" s="127"/>
      <c r="AL110" s="141"/>
      <c r="AM110" s="141"/>
      <c r="AN110" s="131"/>
      <c r="AO110" s="131"/>
      <c r="AP110" s="446"/>
      <c r="BC110" s="166"/>
    </row>
    <row r="111" spans="1:67">
      <c r="A111" s="799"/>
      <c r="B111" s="354" t="s">
        <v>88</v>
      </c>
      <c r="C111" s="1421" t="s">
        <v>503</v>
      </c>
      <c r="D111" s="1422"/>
      <c r="E111" s="1422"/>
      <c r="F111" s="1422"/>
      <c r="G111" s="1422"/>
      <c r="H111" s="1422"/>
      <c r="I111" s="1422"/>
      <c r="J111" s="1422"/>
      <c r="K111" s="1422"/>
      <c r="L111" s="1422"/>
      <c r="M111" s="1422"/>
      <c r="N111" s="1422"/>
      <c r="O111" s="1422"/>
      <c r="P111" s="1422"/>
      <c r="Q111" s="1422"/>
      <c r="R111" s="1422"/>
      <c r="S111" s="1422"/>
      <c r="T111" s="1423"/>
      <c r="U111" s="1423"/>
      <c r="V111" s="1423"/>
      <c r="W111" s="1423"/>
      <c r="X111" s="1423"/>
      <c r="Y111" s="1423"/>
      <c r="Z111" s="1423"/>
      <c r="AA111" s="1423"/>
      <c r="AB111" s="1423"/>
      <c r="AC111" s="1423"/>
      <c r="AD111" s="1423"/>
      <c r="AE111" s="1423"/>
      <c r="AF111" s="1423"/>
      <c r="AG111" s="1423"/>
      <c r="AH111" s="1423"/>
      <c r="AI111" s="1423"/>
      <c r="AJ111" s="1423"/>
      <c r="AK111" s="60"/>
      <c r="AL111" s="36"/>
      <c r="AM111" s="36"/>
      <c r="AN111" s="61"/>
      <c r="AO111" s="61"/>
    </row>
    <row r="112" spans="1:67" s="1122" customFormat="1" ht="30" customHeight="1">
      <c r="A112" s="1115"/>
      <c r="B112" s="1116"/>
      <c r="C112" s="1117" t="s">
        <v>116</v>
      </c>
      <c r="D112" s="1424" t="s">
        <v>39</v>
      </c>
      <c r="E112" s="1425"/>
      <c r="F112" s="1425"/>
      <c r="G112" s="1425"/>
      <c r="H112" s="1425"/>
      <c r="I112" s="1426"/>
      <c r="J112" s="1443" t="s">
        <v>916</v>
      </c>
      <c r="K112" s="1444"/>
      <c r="L112" s="1444"/>
      <c r="M112" s="1444"/>
      <c r="N112" s="1444"/>
      <c r="O112" s="1444"/>
      <c r="P112" s="1444"/>
      <c r="Q112" s="1444"/>
      <c r="R112" s="1439" t="s">
        <v>22</v>
      </c>
      <c r="S112" s="1441"/>
      <c r="T112" s="1409" t="s">
        <v>136</v>
      </c>
      <c r="U112" s="1410"/>
      <c r="V112" s="1410"/>
      <c r="W112" s="1410"/>
      <c r="X112" s="1410"/>
      <c r="Y112" s="1411" t="s">
        <v>126</v>
      </c>
      <c r="Z112" s="1412"/>
      <c r="AA112" s="1141"/>
      <c r="AB112" s="1142"/>
      <c r="AC112" s="1413" t="s">
        <v>101</v>
      </c>
      <c r="AD112" s="1414"/>
      <c r="AE112" s="1414"/>
      <c r="AF112" s="1415" t="s">
        <v>23</v>
      </c>
      <c r="AG112" s="1416"/>
      <c r="AH112" s="1119"/>
      <c r="AI112" s="1434" t="s">
        <v>25</v>
      </c>
      <c r="AJ112" s="1435"/>
      <c r="AK112" s="1435"/>
      <c r="AL112" s="1435"/>
      <c r="AM112" s="1435"/>
      <c r="AN112" s="1436"/>
      <c r="AO112" s="1120"/>
      <c r="AP112" s="1121"/>
      <c r="AV112" s="1317" t="s">
        <v>82</v>
      </c>
      <c r="BC112" s="1123"/>
    </row>
    <row r="113" spans="1:61">
      <c r="A113" s="799"/>
      <c r="C113" s="507"/>
      <c r="D113" s="86">
        <v>1</v>
      </c>
      <c r="E113" s="38">
        <f t="shared" ref="E113:AO113" si="296">D113+1</f>
        <v>2</v>
      </c>
      <c r="F113" s="574">
        <f t="shared" si="296"/>
        <v>3</v>
      </c>
      <c r="G113" s="38">
        <f t="shared" si="296"/>
        <v>4</v>
      </c>
      <c r="H113" s="38">
        <f t="shared" si="296"/>
        <v>5</v>
      </c>
      <c r="I113" s="87">
        <f t="shared" si="296"/>
        <v>6</v>
      </c>
      <c r="J113" s="86">
        <f t="shared" si="296"/>
        <v>7</v>
      </c>
      <c r="K113" s="117">
        <f t="shared" si="296"/>
        <v>8</v>
      </c>
      <c r="L113" s="38">
        <f t="shared" si="296"/>
        <v>9</v>
      </c>
      <c r="M113" s="38">
        <f t="shared" si="296"/>
        <v>10</v>
      </c>
      <c r="N113" s="38">
        <f t="shared" si="296"/>
        <v>11</v>
      </c>
      <c r="O113" s="38">
        <f t="shared" si="296"/>
        <v>12</v>
      </c>
      <c r="P113" s="38">
        <f t="shared" si="296"/>
        <v>13</v>
      </c>
      <c r="Q113" s="38">
        <f t="shared" si="296"/>
        <v>14</v>
      </c>
      <c r="R113" s="358">
        <f t="shared" si="296"/>
        <v>15</v>
      </c>
      <c r="S113" s="359">
        <f t="shared" si="296"/>
        <v>16</v>
      </c>
      <c r="T113" s="86">
        <f t="shared" si="296"/>
        <v>17</v>
      </c>
      <c r="U113" s="38">
        <f t="shared" si="296"/>
        <v>18</v>
      </c>
      <c r="V113" s="38">
        <f t="shared" si="296"/>
        <v>19</v>
      </c>
      <c r="W113" s="38">
        <f t="shared" si="296"/>
        <v>20</v>
      </c>
      <c r="X113" s="38">
        <f t="shared" si="296"/>
        <v>21</v>
      </c>
      <c r="Y113" s="358">
        <f t="shared" si="296"/>
        <v>22</v>
      </c>
      <c r="Z113" s="359">
        <f t="shared" si="296"/>
        <v>23</v>
      </c>
      <c r="AA113" s="38">
        <f t="shared" si="296"/>
        <v>24</v>
      </c>
      <c r="AB113" s="87">
        <f t="shared" si="296"/>
        <v>25</v>
      </c>
      <c r="AC113" s="358">
        <f t="shared" si="296"/>
        <v>26</v>
      </c>
      <c r="AD113" s="117">
        <f t="shared" si="296"/>
        <v>27</v>
      </c>
      <c r="AE113" s="117">
        <f t="shared" si="296"/>
        <v>28</v>
      </c>
      <c r="AF113" s="358">
        <f t="shared" si="296"/>
        <v>29</v>
      </c>
      <c r="AG113" s="359">
        <f t="shared" si="296"/>
        <v>30</v>
      </c>
      <c r="AH113" s="117">
        <f t="shared" si="296"/>
        <v>31</v>
      </c>
      <c r="AI113" s="364">
        <f>AH113+1</f>
        <v>32</v>
      </c>
      <c r="AJ113" s="38">
        <f>AI113+1</f>
        <v>33</v>
      </c>
      <c r="AK113" s="38">
        <f t="shared" si="296"/>
        <v>34</v>
      </c>
      <c r="AL113" s="38">
        <f t="shared" si="296"/>
        <v>35</v>
      </c>
      <c r="AM113" s="38">
        <f t="shared" ref="AM113" si="297">AL113+1</f>
        <v>36</v>
      </c>
      <c r="AN113" s="359">
        <f>AM113+1</f>
        <v>37</v>
      </c>
      <c r="AO113" s="38">
        <f t="shared" si="296"/>
        <v>38</v>
      </c>
    </row>
    <row r="114" spans="1:61" ht="127.75" customHeight="1">
      <c r="A114" s="799"/>
      <c r="C114" s="1044" t="s">
        <v>588</v>
      </c>
      <c r="D114" s="1026" t="s">
        <v>560</v>
      </c>
      <c r="E114" s="1025" t="s">
        <v>561</v>
      </c>
      <c r="F114" s="1025" t="s">
        <v>506</v>
      </c>
      <c r="G114" s="1025" t="s">
        <v>408</v>
      </c>
      <c r="H114" s="418" t="s">
        <v>409</v>
      </c>
      <c r="I114" s="820" t="s">
        <v>507</v>
      </c>
      <c r="J114" s="1087" t="s">
        <v>911</v>
      </c>
      <c r="K114" s="1054" t="s">
        <v>589</v>
      </c>
      <c r="L114" s="1322" t="s">
        <v>1244</v>
      </c>
      <c r="M114" s="1322" t="s">
        <v>914</v>
      </c>
      <c r="N114" s="1322" t="s">
        <v>590</v>
      </c>
      <c r="O114" s="1322" t="s">
        <v>1245</v>
      </c>
      <c r="P114" s="1054" t="s">
        <v>591</v>
      </c>
      <c r="Q114" s="1104" t="s">
        <v>418</v>
      </c>
      <c r="R114" s="488" t="s">
        <v>514</v>
      </c>
      <c r="S114" s="322" t="s">
        <v>448</v>
      </c>
      <c r="T114" s="1030" t="s">
        <v>592</v>
      </c>
      <c r="U114" s="1323" t="s">
        <v>1246</v>
      </c>
      <c r="V114" s="1323" t="s">
        <v>1247</v>
      </c>
      <c r="W114" s="819" t="s">
        <v>593</v>
      </c>
      <c r="X114" s="1101" t="s">
        <v>585</v>
      </c>
      <c r="Y114" s="175" t="s">
        <v>425</v>
      </c>
      <c r="Z114" s="545" t="s">
        <v>520</v>
      </c>
      <c r="AA114" s="819" t="s">
        <v>427</v>
      </c>
      <c r="AB114" s="819" t="s">
        <v>428</v>
      </c>
      <c r="AC114" s="1026" t="s">
        <v>429</v>
      </c>
      <c r="AD114" s="819" t="s">
        <v>541</v>
      </c>
      <c r="AE114" s="819" t="s">
        <v>529</v>
      </c>
      <c r="AF114" s="154" t="s">
        <v>523</v>
      </c>
      <c r="AG114" s="568" t="s">
        <v>570</v>
      </c>
      <c r="AH114" s="1031" t="s">
        <v>434</v>
      </c>
      <c r="AI114" s="1054" t="s">
        <v>346</v>
      </c>
      <c r="AJ114" s="1055" t="s">
        <v>435</v>
      </c>
      <c r="AK114" s="1074" t="s">
        <v>0</v>
      </c>
      <c r="AL114" s="1056" t="s">
        <v>26</v>
      </c>
      <c r="AM114" s="819" t="s">
        <v>402</v>
      </c>
      <c r="AN114" s="820" t="s">
        <v>343</v>
      </c>
      <c r="AO114" s="470" t="s">
        <v>436</v>
      </c>
      <c r="AQ114" s="1044" t="s">
        <v>594</v>
      </c>
      <c r="AR114" s="418" t="s">
        <v>438</v>
      </c>
      <c r="AS114" s="418" t="s">
        <v>439</v>
      </c>
      <c r="AT114" s="361" t="s">
        <v>440</v>
      </c>
      <c r="AU114" s="861" t="s">
        <v>403</v>
      </c>
      <c r="AV114" s="861" t="s">
        <v>746</v>
      </c>
      <c r="BC114" s="978" t="s">
        <v>779</v>
      </c>
    </row>
    <row r="115" spans="1:61" s="759" customFormat="1">
      <c r="A115" s="795">
        <f>A107+1</f>
        <v>42</v>
      </c>
      <c r="B115" s="771">
        <f>B107+1</f>
        <v>33</v>
      </c>
      <c r="C115" s="863" t="s">
        <v>341</v>
      </c>
      <c r="D115" s="630">
        <v>184</v>
      </c>
      <c r="E115" s="877">
        <f>(2*D115)</f>
        <v>368</v>
      </c>
      <c r="F115" s="877">
        <f>(2*166)</f>
        <v>332</v>
      </c>
      <c r="G115" s="629">
        <f>F115*1.15</f>
        <v>381.79999999999995</v>
      </c>
      <c r="H115" s="236">
        <f>E115*0.23</f>
        <v>84.64</v>
      </c>
      <c r="I115" s="235">
        <f>0.5*(H115*1.1)</f>
        <v>46.552000000000007</v>
      </c>
      <c r="J115" s="892" t="s">
        <v>112</v>
      </c>
      <c r="K115" s="1071" t="s">
        <v>113</v>
      </c>
      <c r="L115" s="1071">
        <f>183-147</f>
        <v>36</v>
      </c>
      <c r="M115" s="1071">
        <v>15</v>
      </c>
      <c r="N115" s="1071">
        <v>132</v>
      </c>
      <c r="O115" s="1071" t="s">
        <v>112</v>
      </c>
      <c r="P115" s="1071" t="s">
        <v>112</v>
      </c>
      <c r="Q115" s="1071">
        <f>SUM(J115:P115)</f>
        <v>183</v>
      </c>
      <c r="R115" s="323">
        <f>2*Q115</f>
        <v>366</v>
      </c>
      <c r="S115" s="643">
        <f>R115+(2*71)</f>
        <v>508</v>
      </c>
      <c r="T115" s="644">
        <v>0</v>
      </c>
      <c r="U115" s="608">
        <v>54</v>
      </c>
      <c r="V115" s="608">
        <v>13</v>
      </c>
      <c r="W115" s="608">
        <v>0</v>
      </c>
      <c r="X115" s="608">
        <f>SUM(T115:W115)</f>
        <v>67</v>
      </c>
      <c r="Y115" s="515">
        <f>2*X115</f>
        <v>134</v>
      </c>
      <c r="Z115" s="516">
        <f>Y115+(23)</f>
        <v>157</v>
      </c>
      <c r="AA115" s="654">
        <f>Z115-H115</f>
        <v>72.36</v>
      </c>
      <c r="AB115" s="653">
        <f>Z115-I115</f>
        <v>110.44799999999999</v>
      </c>
      <c r="AC115" s="630">
        <f>306-232</f>
        <v>74</v>
      </c>
      <c r="AD115" s="871">
        <f t="shared" ref="AD115:AD118" si="298">33.89+(0.2095*AC115)</f>
        <v>49.393000000000001</v>
      </c>
      <c r="AE115" s="612">
        <f>X115-U115+AD115</f>
        <v>62.393000000000001</v>
      </c>
      <c r="AF115" s="240">
        <f>2*AE115</f>
        <v>124.786</v>
      </c>
      <c r="AG115" s="388">
        <f>AF115+(23)</f>
        <v>147.786</v>
      </c>
      <c r="AH115" s="654">
        <f>AG115-I115</f>
        <v>101.23399999999999</v>
      </c>
      <c r="AI115" s="892" t="s">
        <v>915</v>
      </c>
      <c r="AJ115" s="1071">
        <v>242</v>
      </c>
      <c r="AK115" s="1071">
        <f>(2*AJ115)+(2*71)+(2*45)</f>
        <v>716</v>
      </c>
      <c r="AL115" s="1088">
        <f>S115-AK115</f>
        <v>-208</v>
      </c>
      <c r="AM115" s="612">
        <v>15</v>
      </c>
      <c r="AN115" s="235">
        <f>(692)+(23)+AM115</f>
        <v>730</v>
      </c>
      <c r="AO115" s="236">
        <f>Z115-AN115</f>
        <v>-573</v>
      </c>
      <c r="AP115" s="758"/>
      <c r="AQ115" s="757" t="s">
        <v>222</v>
      </c>
      <c r="AR115" s="695">
        <f>H115</f>
        <v>84.64</v>
      </c>
      <c r="AS115" s="695">
        <f>Z115</f>
        <v>157</v>
      </c>
      <c r="AT115" s="695">
        <f>AN115</f>
        <v>730</v>
      </c>
      <c r="AU115" s="696">
        <f>S115-G115</f>
        <v>126.20000000000005</v>
      </c>
      <c r="AV115" s="698">
        <f>AL115</f>
        <v>-208</v>
      </c>
      <c r="BC115" s="987">
        <f>B115</f>
        <v>33</v>
      </c>
      <c r="BF115" s="1287">
        <v>1</v>
      </c>
    </row>
    <row r="116" spans="1:61" s="759" customFormat="1">
      <c r="A116" s="1324">
        <f>A115+1</f>
        <v>43</v>
      </c>
      <c r="B116" s="771">
        <f>B115+1</f>
        <v>34</v>
      </c>
      <c r="C116" s="1325" t="s">
        <v>1243</v>
      </c>
      <c r="D116" s="1326">
        <v>94</v>
      </c>
      <c r="E116" s="1327">
        <f>(2*D116)</f>
        <v>188</v>
      </c>
      <c r="F116" s="1327">
        <f>(2*144)</f>
        <v>288</v>
      </c>
      <c r="G116" s="1328">
        <f>F116*1.15</f>
        <v>331.2</v>
      </c>
      <c r="H116" s="1329">
        <f t="shared" ref="H116" si="299">E116*0.23</f>
        <v>43.24</v>
      </c>
      <c r="I116" s="1330">
        <f>0.5*(H116*1.1)</f>
        <v>23.782000000000004</v>
      </c>
      <c r="J116" s="1331" t="s">
        <v>112</v>
      </c>
      <c r="K116" s="1332" t="s">
        <v>113</v>
      </c>
      <c r="L116" s="1332">
        <f>102-44</f>
        <v>58</v>
      </c>
      <c r="M116" s="1332">
        <v>15</v>
      </c>
      <c r="N116" s="1333" t="s">
        <v>112</v>
      </c>
      <c r="O116" s="1332">
        <f>240-120</f>
        <v>120</v>
      </c>
      <c r="P116" s="1332" t="s">
        <v>112</v>
      </c>
      <c r="Q116" s="1332">
        <f t="shared" ref="Q116:Q118" si="300">SUM(J116:P116)</f>
        <v>193</v>
      </c>
      <c r="R116" s="323">
        <f>2*Q116</f>
        <v>386</v>
      </c>
      <c r="S116" s="643">
        <f>R116+(2*71)</f>
        <v>528</v>
      </c>
      <c r="T116" s="1334" t="s">
        <v>112</v>
      </c>
      <c r="U116" s="1335">
        <v>62</v>
      </c>
      <c r="V116" s="1335">
        <v>1</v>
      </c>
      <c r="W116" s="1335">
        <v>0</v>
      </c>
      <c r="X116" s="1335">
        <f>SUM(T116:W116)</f>
        <v>63</v>
      </c>
      <c r="Y116" s="510">
        <f>2*X116</f>
        <v>126</v>
      </c>
      <c r="Z116" s="516">
        <f>Y116+(23)</f>
        <v>149</v>
      </c>
      <c r="AA116" s="1334">
        <f>Z116-H116</f>
        <v>105.75999999999999</v>
      </c>
      <c r="AB116" s="1334">
        <f>Z116-I116</f>
        <v>125.21799999999999</v>
      </c>
      <c r="AC116" s="1326">
        <f>168+42</f>
        <v>210</v>
      </c>
      <c r="AD116" s="1334">
        <f t="shared" si="298"/>
        <v>77.884999999999991</v>
      </c>
      <c r="AE116" s="1334">
        <f t="shared" ref="AE116" si="301">X116-U116+AD116</f>
        <v>78.884999999999991</v>
      </c>
      <c r="AF116" s="240">
        <f>2*AE116</f>
        <v>157.76999999999998</v>
      </c>
      <c r="AG116" s="388">
        <f>AF116+(23)</f>
        <v>180.76999999999998</v>
      </c>
      <c r="AH116" s="1334">
        <f>AG116-I116</f>
        <v>156.98799999999997</v>
      </c>
      <c r="AI116" s="1336" t="s">
        <v>1249</v>
      </c>
      <c r="AJ116" s="1337">
        <v>300</v>
      </c>
      <c r="AK116" s="1328">
        <f t="shared" ref="AK116" si="302">(2*AJ116)+(2*71)+(2*45)</f>
        <v>832</v>
      </c>
      <c r="AL116" s="1337">
        <f t="shared" ref="AL116" si="303">S116-AK116</f>
        <v>-304</v>
      </c>
      <c r="AM116" s="1334">
        <v>31</v>
      </c>
      <c r="AN116" s="1330">
        <f>308+((23))+AM116</f>
        <v>362</v>
      </c>
      <c r="AO116" s="1338">
        <f>Z116-AN116</f>
        <v>-213</v>
      </c>
      <c r="AP116" s="758"/>
      <c r="AQ116" s="1325" t="s">
        <v>1250</v>
      </c>
      <c r="AR116" s="695">
        <f t="shared" ref="AR116:AR118" si="304">H116</f>
        <v>43.24</v>
      </c>
      <c r="AS116" s="695">
        <f t="shared" ref="AS116:AS118" si="305">Z116</f>
        <v>149</v>
      </c>
      <c r="AT116" s="695">
        <f t="shared" ref="AT116:AT118" si="306">AN116</f>
        <v>362</v>
      </c>
      <c r="AU116" s="696">
        <f t="shared" ref="AU116:AU118" si="307">S116-G116</f>
        <v>196.8</v>
      </c>
      <c r="AV116" s="698">
        <f t="shared" ref="AV116:AV118" si="308">AL116</f>
        <v>-304</v>
      </c>
      <c r="BC116" s="987">
        <f t="shared" ref="BC116:BC118" si="309">B116</f>
        <v>34</v>
      </c>
      <c r="BI116" s="1287">
        <v>1</v>
      </c>
    </row>
    <row r="117" spans="1:61" s="760" customFormat="1">
      <c r="A117" s="795">
        <f t="shared" ref="A117:A118" si="310">A116+1</f>
        <v>44</v>
      </c>
      <c r="B117" s="771">
        <f>B116+1</f>
        <v>35</v>
      </c>
      <c r="C117" s="661" t="s">
        <v>342</v>
      </c>
      <c r="D117" s="630">
        <v>207</v>
      </c>
      <c r="E117" s="877">
        <f>(2*D117)</f>
        <v>414</v>
      </c>
      <c r="F117" s="877">
        <f>(2*191)</f>
        <v>382</v>
      </c>
      <c r="G117" s="629">
        <f>F117*1.15</f>
        <v>439.29999999999995</v>
      </c>
      <c r="H117" s="236">
        <f t="shared" ref="H117:H118" si="311">E117*0.23</f>
        <v>95.22</v>
      </c>
      <c r="I117" s="235">
        <f>0.5*(H117*1.1)</f>
        <v>52.371000000000002</v>
      </c>
      <c r="J117" s="892" t="s">
        <v>112</v>
      </c>
      <c r="K117" s="1071" t="s">
        <v>113</v>
      </c>
      <c r="L117" s="1106">
        <f>183-125</f>
        <v>58</v>
      </c>
      <c r="M117" s="1106">
        <v>15</v>
      </c>
      <c r="N117" s="1106">
        <v>132</v>
      </c>
      <c r="O117" s="1106" t="s">
        <v>112</v>
      </c>
      <c r="P117" s="1106" t="s">
        <v>112</v>
      </c>
      <c r="Q117" s="1071">
        <f t="shared" si="300"/>
        <v>205</v>
      </c>
      <c r="R117" s="323">
        <f>2*Q117</f>
        <v>410</v>
      </c>
      <c r="S117" s="643">
        <f>R117+(2*71)</f>
        <v>552</v>
      </c>
      <c r="T117" s="644">
        <v>0</v>
      </c>
      <c r="U117" s="608">
        <v>59</v>
      </c>
      <c r="V117" s="608">
        <v>13</v>
      </c>
      <c r="W117" s="608">
        <v>0</v>
      </c>
      <c r="X117" s="608">
        <f>SUM(T117:W117)</f>
        <v>72</v>
      </c>
      <c r="Y117" s="510">
        <f>2*X117</f>
        <v>144</v>
      </c>
      <c r="Z117" s="516">
        <f>Y117+(23)</f>
        <v>167</v>
      </c>
      <c r="AA117" s="612">
        <f>Z117-H117</f>
        <v>71.78</v>
      </c>
      <c r="AB117" s="618">
        <f>Z117-I117</f>
        <v>114.62899999999999</v>
      </c>
      <c r="AC117" s="630">
        <f>306-199</f>
        <v>107</v>
      </c>
      <c r="AD117" s="871">
        <f t="shared" si="298"/>
        <v>56.3065</v>
      </c>
      <c r="AE117" s="612">
        <f>X117-U117+AD117</f>
        <v>69.3065</v>
      </c>
      <c r="AF117" s="240">
        <f>2*AE117</f>
        <v>138.613</v>
      </c>
      <c r="AG117" s="388">
        <f>AF117+(23)</f>
        <v>161.613</v>
      </c>
      <c r="AH117" s="612">
        <f>AG117-I117</f>
        <v>109.24199999999999</v>
      </c>
      <c r="AI117" s="617" t="s">
        <v>915</v>
      </c>
      <c r="AJ117" s="1071">
        <v>242</v>
      </c>
      <c r="AK117" s="1071">
        <f>(2*AJ117)+(2*71)+(2*45)</f>
        <v>716</v>
      </c>
      <c r="AL117" s="1088">
        <f>S117-AK117</f>
        <v>-164</v>
      </c>
      <c r="AM117" s="666" t="s">
        <v>113</v>
      </c>
      <c r="AN117" s="235">
        <f>692+(23)</f>
        <v>715</v>
      </c>
      <c r="AO117" s="236">
        <f>Z117-AN117</f>
        <v>-548</v>
      </c>
      <c r="AP117" s="758"/>
      <c r="AQ117" s="564" t="s">
        <v>42</v>
      </c>
      <c r="AR117" s="695">
        <f t="shared" si="304"/>
        <v>95.22</v>
      </c>
      <c r="AS117" s="695">
        <f t="shared" si="305"/>
        <v>167</v>
      </c>
      <c r="AT117" s="695">
        <f t="shared" si="306"/>
        <v>715</v>
      </c>
      <c r="AU117" s="696">
        <f t="shared" si="307"/>
        <v>112.70000000000005</v>
      </c>
      <c r="AV117" s="698">
        <f t="shared" si="308"/>
        <v>-164</v>
      </c>
      <c r="BC117" s="987">
        <f t="shared" si="309"/>
        <v>35</v>
      </c>
      <c r="BF117" s="1287">
        <v>1</v>
      </c>
    </row>
    <row r="118" spans="1:61" s="760" customFormat="1">
      <c r="A118" s="795">
        <f t="shared" si="310"/>
        <v>45</v>
      </c>
      <c r="B118" s="771">
        <f>B117+1</f>
        <v>36</v>
      </c>
      <c r="C118" s="661" t="s">
        <v>912</v>
      </c>
      <c r="D118" s="630">
        <v>221</v>
      </c>
      <c r="E118" s="877">
        <f>(2*D118)</f>
        <v>442</v>
      </c>
      <c r="F118" s="877">
        <v>178</v>
      </c>
      <c r="G118" s="629">
        <f>1.15*F118</f>
        <v>204.7</v>
      </c>
      <c r="H118" s="236">
        <f t="shared" si="311"/>
        <v>101.66000000000001</v>
      </c>
      <c r="I118" s="235">
        <f>0.5*(H118*1.1)</f>
        <v>55.913000000000011</v>
      </c>
      <c r="J118" s="892" t="s">
        <v>112</v>
      </c>
      <c r="K118" s="1071" t="s">
        <v>113</v>
      </c>
      <c r="L118" s="1071">
        <f>183-125</f>
        <v>58</v>
      </c>
      <c r="M118" s="1071">
        <v>15</v>
      </c>
      <c r="N118" s="897">
        <v>160</v>
      </c>
      <c r="O118" s="1071" t="s">
        <v>112</v>
      </c>
      <c r="P118" s="1071" t="s">
        <v>112</v>
      </c>
      <c r="Q118" s="1071">
        <f t="shared" si="300"/>
        <v>233</v>
      </c>
      <c r="R118" s="323">
        <f>2*Q118</f>
        <v>466</v>
      </c>
      <c r="S118" s="643">
        <f>R118+(2*71)</f>
        <v>608</v>
      </c>
      <c r="T118" s="644">
        <v>0</v>
      </c>
      <c r="U118" s="608">
        <v>59</v>
      </c>
      <c r="V118" s="608">
        <v>13</v>
      </c>
      <c r="W118" s="608">
        <v>0</v>
      </c>
      <c r="X118" s="608">
        <f>SUM(T118:W118)</f>
        <v>72</v>
      </c>
      <c r="Y118" s="510">
        <f>2*X118</f>
        <v>144</v>
      </c>
      <c r="Z118" s="516">
        <f>Y118+(23)</f>
        <v>167</v>
      </c>
      <c r="AA118" s="612">
        <f>Z118-H118</f>
        <v>65.339999999999989</v>
      </c>
      <c r="AB118" s="612">
        <f>Z118-I118</f>
        <v>111.08699999999999</v>
      </c>
      <c r="AC118" s="630">
        <f>306-199</f>
        <v>107</v>
      </c>
      <c r="AD118" s="871">
        <f t="shared" si="298"/>
        <v>56.3065</v>
      </c>
      <c r="AE118" s="612">
        <f>X118-U118+AD118</f>
        <v>69.3065</v>
      </c>
      <c r="AF118" s="240">
        <f>2*AE118</f>
        <v>138.613</v>
      </c>
      <c r="AG118" s="388">
        <f>AF118+(23)</f>
        <v>161.613</v>
      </c>
      <c r="AH118" s="612">
        <f>AG118-I118</f>
        <v>105.69999999999999</v>
      </c>
      <c r="AI118" s="617" t="s">
        <v>345</v>
      </c>
      <c r="AJ118" s="1088">
        <v>74</v>
      </c>
      <c r="AK118" s="1071">
        <f>(2*AJ118)+(2*71)+(2*45)</f>
        <v>380</v>
      </c>
      <c r="AL118" s="1088">
        <f>S118-AK118</f>
        <v>228</v>
      </c>
      <c r="AM118" s="666" t="s">
        <v>113</v>
      </c>
      <c r="AN118" s="235">
        <f>373+(23)</f>
        <v>396</v>
      </c>
      <c r="AO118" s="236">
        <f>Z118-AN118</f>
        <v>-229</v>
      </c>
      <c r="AP118" s="758"/>
      <c r="AQ118" s="564" t="s">
        <v>758</v>
      </c>
      <c r="AR118" s="695">
        <f t="shared" si="304"/>
        <v>101.66000000000001</v>
      </c>
      <c r="AS118" s="695">
        <f t="shared" si="305"/>
        <v>167</v>
      </c>
      <c r="AT118" s="695">
        <f t="shared" si="306"/>
        <v>396</v>
      </c>
      <c r="AU118" s="696">
        <f t="shared" si="307"/>
        <v>403.3</v>
      </c>
      <c r="AV118" s="698">
        <f t="shared" si="308"/>
        <v>228</v>
      </c>
      <c r="BC118" s="987">
        <f t="shared" si="309"/>
        <v>36</v>
      </c>
      <c r="BF118" s="1287">
        <v>1</v>
      </c>
    </row>
    <row r="119" spans="1:61" ht="325" customHeight="1">
      <c r="A119" s="799"/>
      <c r="C119" s="88"/>
      <c r="D119" s="1427" t="s">
        <v>910</v>
      </c>
      <c r="E119" s="1445"/>
      <c r="F119" s="872" t="s">
        <v>872</v>
      </c>
      <c r="G119" s="1099" t="s">
        <v>873</v>
      </c>
      <c r="H119" s="1046" t="s">
        <v>190</v>
      </c>
      <c r="I119" s="1009"/>
      <c r="J119" s="1005" t="s">
        <v>221</v>
      </c>
      <c r="K119" s="1005" t="s">
        <v>896</v>
      </c>
      <c r="L119" s="1005" t="s">
        <v>218</v>
      </c>
      <c r="M119" s="1005" t="s">
        <v>913</v>
      </c>
      <c r="N119" s="1005" t="s">
        <v>211</v>
      </c>
      <c r="O119" s="1107"/>
      <c r="P119" s="1138"/>
      <c r="Q119" s="1138"/>
      <c r="R119" s="333"/>
      <c r="S119" s="1007" t="s">
        <v>1162</v>
      </c>
      <c r="T119" s="1114" t="s">
        <v>908</v>
      </c>
      <c r="U119" s="866" t="s">
        <v>219</v>
      </c>
      <c r="V119" s="1063" t="s">
        <v>1248</v>
      </c>
      <c r="W119" s="171"/>
      <c r="X119" s="841"/>
      <c r="Y119" s="95"/>
      <c r="Z119" s="1067" t="s">
        <v>1170</v>
      </c>
      <c r="AA119" s="143"/>
      <c r="AB119" s="1036" t="s">
        <v>220</v>
      </c>
      <c r="AC119" s="589" t="s">
        <v>899</v>
      </c>
      <c r="AD119" s="733" t="s">
        <v>223</v>
      </c>
      <c r="AE119" s="841"/>
      <c r="AF119" s="214"/>
      <c r="AG119" s="1067" t="s">
        <v>1170</v>
      </c>
      <c r="AH119" s="363"/>
      <c r="AI119" s="828"/>
      <c r="AJ119" s="1078" t="s">
        <v>1153</v>
      </c>
      <c r="AK119" s="1098" t="s">
        <v>2</v>
      </c>
      <c r="AL119" s="1139"/>
      <c r="AM119" s="1139"/>
      <c r="AN119" s="1140" t="s">
        <v>109</v>
      </c>
      <c r="AO119" s="49"/>
      <c r="AQ119" s="1059" t="s">
        <v>595</v>
      </c>
    </row>
    <row r="120" spans="1:61">
      <c r="A120" s="799"/>
      <c r="C120" s="55"/>
      <c r="D120" s="160"/>
      <c r="E120" s="161"/>
      <c r="F120" s="553"/>
      <c r="G120" s="160"/>
      <c r="H120" s="159"/>
      <c r="I120" s="159"/>
      <c r="J120" s="177"/>
      <c r="K120" s="126"/>
      <c r="L120" s="65"/>
      <c r="M120" s="65"/>
      <c r="N120" s="65"/>
      <c r="O120" s="65"/>
      <c r="P120" s="65"/>
      <c r="Q120" s="65"/>
      <c r="R120" s="127"/>
      <c r="S120" s="49"/>
      <c r="T120" s="49"/>
      <c r="U120" s="49"/>
      <c r="V120" s="49"/>
      <c r="W120" s="131"/>
      <c r="X120" s="49"/>
      <c r="Y120" s="36"/>
      <c r="Z120" s="36"/>
      <c r="AA120" s="50"/>
      <c r="AB120" s="81"/>
      <c r="AC120" s="131"/>
      <c r="AD120" s="131"/>
      <c r="AE120" s="131"/>
      <c r="AF120" s="28"/>
      <c r="AG120" s="28"/>
      <c r="AH120" s="137"/>
      <c r="AI120" s="137"/>
      <c r="AJ120" s="59"/>
      <c r="AK120" s="42"/>
      <c r="AL120" s="64"/>
      <c r="AM120" s="64"/>
      <c r="AN120" s="131"/>
      <c r="AO120" s="49"/>
      <c r="AV120" s="1278" t="s">
        <v>82</v>
      </c>
    </row>
    <row r="121" spans="1:61" s="12" customFormat="1">
      <c r="A121" s="799"/>
      <c r="B121" s="124"/>
      <c r="C121" s="118"/>
      <c r="D121" s="118"/>
      <c r="E121" s="135"/>
      <c r="F121" s="575"/>
      <c r="G121" s="135"/>
      <c r="H121" s="131"/>
      <c r="I121" s="140"/>
      <c r="J121" s="126"/>
      <c r="K121" s="126"/>
      <c r="L121" s="140"/>
      <c r="M121" s="140"/>
      <c r="N121" s="140"/>
      <c r="O121" s="140"/>
      <c r="P121" s="140"/>
      <c r="Q121" s="140"/>
      <c r="R121" s="127"/>
      <c r="S121" s="131"/>
      <c r="T121" s="131"/>
      <c r="U121" s="131"/>
      <c r="V121" s="131"/>
      <c r="W121" s="131"/>
      <c r="X121" s="131"/>
      <c r="Y121" s="28"/>
      <c r="Z121" s="28"/>
      <c r="AA121" s="70"/>
      <c r="AB121" s="81"/>
      <c r="AC121" s="131"/>
      <c r="AD121" s="131"/>
      <c r="AE121" s="131"/>
      <c r="AF121" s="28"/>
      <c r="AG121" s="28"/>
      <c r="AH121" s="137"/>
      <c r="AI121" s="137"/>
      <c r="AJ121" s="60"/>
      <c r="AK121" s="127"/>
      <c r="AL121" s="141"/>
      <c r="AM121" s="141"/>
      <c r="AN121" s="131"/>
      <c r="AO121" s="131"/>
      <c r="AP121" s="446"/>
      <c r="BC121" s="166"/>
    </row>
    <row r="122" spans="1:61" s="225" customFormat="1">
      <c r="A122" s="799"/>
      <c r="B122" s="354" t="s">
        <v>71</v>
      </c>
      <c r="C122" s="1421" t="s">
        <v>503</v>
      </c>
      <c r="D122" s="1422"/>
      <c r="E122" s="1422"/>
      <c r="F122" s="1422"/>
      <c r="G122" s="1422"/>
      <c r="H122" s="1422"/>
      <c r="I122" s="1422"/>
      <c r="J122" s="1422"/>
      <c r="K122" s="1422"/>
      <c r="L122" s="1422"/>
      <c r="M122" s="1422"/>
      <c r="N122" s="1422"/>
      <c r="O122" s="1422"/>
      <c r="P122" s="1422"/>
      <c r="Q122" s="1422"/>
      <c r="R122" s="1422"/>
      <c r="S122" s="1422"/>
      <c r="T122" s="1423"/>
      <c r="U122" s="1423"/>
      <c r="V122" s="1423"/>
      <c r="W122" s="1423"/>
      <c r="X122" s="1423"/>
      <c r="Y122" s="1423"/>
      <c r="Z122" s="1423"/>
      <c r="AA122" s="1423"/>
      <c r="AB122" s="1423"/>
      <c r="AC122" s="1423"/>
      <c r="AD122" s="1423"/>
      <c r="AE122" s="1423"/>
      <c r="AF122" s="1423"/>
      <c r="AG122" s="1423"/>
      <c r="AH122" s="1423"/>
      <c r="AI122" s="1423"/>
      <c r="AJ122" s="1423"/>
      <c r="AK122" s="223"/>
      <c r="AL122" s="224"/>
      <c r="AM122" s="224"/>
      <c r="AN122" s="543"/>
      <c r="AO122" s="222"/>
      <c r="AP122" s="446"/>
      <c r="BC122" s="962"/>
    </row>
    <row r="123" spans="1:61" s="1122" customFormat="1" ht="30" customHeight="1">
      <c r="A123" s="1115"/>
      <c r="B123" s="1116"/>
      <c r="C123" s="1117" t="s">
        <v>116</v>
      </c>
      <c r="D123" s="1449" t="s">
        <v>28</v>
      </c>
      <c r="E123" s="1450"/>
      <c r="F123" s="1450"/>
      <c r="G123" s="1450"/>
      <c r="H123" s="1450"/>
      <c r="I123" s="1451"/>
      <c r="J123" s="1447" t="s">
        <v>106</v>
      </c>
      <c r="K123" s="1448"/>
      <c r="L123" s="1448"/>
      <c r="M123" s="1448"/>
      <c r="N123" s="1448"/>
      <c r="O123" s="1448"/>
      <c r="P123" s="1448"/>
      <c r="Q123" s="1448"/>
      <c r="R123" s="1432" t="s">
        <v>22</v>
      </c>
      <c r="S123" s="1433"/>
      <c r="T123" s="1409" t="s">
        <v>136</v>
      </c>
      <c r="U123" s="1410"/>
      <c r="V123" s="1410"/>
      <c r="W123" s="1410"/>
      <c r="X123" s="1410"/>
      <c r="Y123" s="1411" t="s">
        <v>126</v>
      </c>
      <c r="Z123" s="1412"/>
      <c r="AA123" s="1144"/>
      <c r="AB123" s="1145"/>
      <c r="AC123" s="1413" t="s">
        <v>101</v>
      </c>
      <c r="AD123" s="1414"/>
      <c r="AE123" s="1414"/>
      <c r="AF123" s="1460" t="s">
        <v>23</v>
      </c>
      <c r="AG123" s="1461"/>
      <c r="AH123" s="1143"/>
      <c r="AI123" s="1434" t="s">
        <v>25</v>
      </c>
      <c r="AJ123" s="1435"/>
      <c r="AK123" s="1435"/>
      <c r="AL123" s="1435"/>
      <c r="AM123" s="1435"/>
      <c r="AN123" s="1436"/>
      <c r="AO123" s="1120"/>
      <c r="AP123" s="1146"/>
      <c r="AR123" s="1147"/>
      <c r="AS123" s="1147"/>
      <c r="AT123" s="1147"/>
      <c r="AV123" s="1317" t="s">
        <v>82</v>
      </c>
      <c r="BC123" s="1123"/>
    </row>
    <row r="124" spans="1:61">
      <c r="A124" s="799"/>
      <c r="C124" s="507"/>
      <c r="D124" s="86">
        <v>1</v>
      </c>
      <c r="E124" s="38">
        <f t="shared" ref="E124:AO124" si="312">D124+1</f>
        <v>2</v>
      </c>
      <c r="F124" s="574">
        <f t="shared" si="312"/>
        <v>3</v>
      </c>
      <c r="G124" s="38">
        <f>F124+1</f>
        <v>4</v>
      </c>
      <c r="H124" s="38">
        <f>G124+1</f>
        <v>5</v>
      </c>
      <c r="I124" s="87">
        <f t="shared" si="312"/>
        <v>6</v>
      </c>
      <c r="J124" s="86">
        <f t="shared" si="312"/>
        <v>7</v>
      </c>
      <c r="K124" s="117">
        <f t="shared" si="312"/>
        <v>8</v>
      </c>
      <c r="L124" s="38">
        <f t="shared" si="312"/>
        <v>9</v>
      </c>
      <c r="M124" s="38">
        <f t="shared" si="312"/>
        <v>10</v>
      </c>
      <c r="N124" s="38">
        <f t="shared" si="312"/>
        <v>11</v>
      </c>
      <c r="O124" s="38">
        <f t="shared" si="312"/>
        <v>12</v>
      </c>
      <c r="P124" s="38">
        <f t="shared" si="312"/>
        <v>13</v>
      </c>
      <c r="Q124" s="38">
        <f t="shared" si="312"/>
        <v>14</v>
      </c>
      <c r="R124" s="358">
        <f>Q124+1</f>
        <v>15</v>
      </c>
      <c r="S124" s="359">
        <f t="shared" si="312"/>
        <v>16</v>
      </c>
      <c r="T124" s="86">
        <f t="shared" si="312"/>
        <v>17</v>
      </c>
      <c r="U124" s="38">
        <f t="shared" si="312"/>
        <v>18</v>
      </c>
      <c r="V124" s="38">
        <f t="shared" si="312"/>
        <v>19</v>
      </c>
      <c r="W124" s="38">
        <f t="shared" si="312"/>
        <v>20</v>
      </c>
      <c r="X124" s="38">
        <f>W124+1</f>
        <v>21</v>
      </c>
      <c r="Y124" s="358">
        <f t="shared" si="312"/>
        <v>22</v>
      </c>
      <c r="Z124" s="359">
        <f t="shared" si="312"/>
        <v>23</v>
      </c>
      <c r="AA124" s="86">
        <f t="shared" si="312"/>
        <v>24</v>
      </c>
      <c r="AB124" s="87">
        <f t="shared" si="312"/>
        <v>25</v>
      </c>
      <c r="AC124" s="358">
        <f t="shared" si="312"/>
        <v>26</v>
      </c>
      <c r="AD124" s="117">
        <f t="shared" si="312"/>
        <v>27</v>
      </c>
      <c r="AE124" s="117">
        <f t="shared" si="312"/>
        <v>28</v>
      </c>
      <c r="AF124" s="358">
        <f>AE124+1</f>
        <v>29</v>
      </c>
      <c r="AG124" s="359">
        <f t="shared" si="312"/>
        <v>30</v>
      </c>
      <c r="AH124" s="117">
        <f t="shared" si="312"/>
        <v>31</v>
      </c>
      <c r="AI124" s="364">
        <f>AH124+1</f>
        <v>32</v>
      </c>
      <c r="AJ124" s="38">
        <f>AI124+1</f>
        <v>33</v>
      </c>
      <c r="AK124" s="86">
        <f t="shared" si="312"/>
        <v>34</v>
      </c>
      <c r="AL124" s="86">
        <f t="shared" si="312"/>
        <v>35</v>
      </c>
      <c r="AM124" s="38">
        <f t="shared" ref="AM124" si="313">AL124+1</f>
        <v>36</v>
      </c>
      <c r="AN124" s="359">
        <f>AM124+1</f>
        <v>37</v>
      </c>
      <c r="AO124" s="86">
        <f t="shared" si="312"/>
        <v>38</v>
      </c>
      <c r="AR124" s="100"/>
      <c r="AS124" s="103"/>
      <c r="AT124" s="103"/>
    </row>
    <row r="125" spans="1:61" ht="117" customHeight="1">
      <c r="A125" s="799"/>
      <c r="B125" s="461"/>
      <c r="C125" s="1044" t="s">
        <v>919</v>
      </c>
      <c r="D125" s="869" t="s">
        <v>560</v>
      </c>
      <c r="E125" s="164" t="s">
        <v>561</v>
      </c>
      <c r="F125" s="172" t="s">
        <v>506</v>
      </c>
      <c r="G125" s="172" t="s">
        <v>408</v>
      </c>
      <c r="H125" s="418" t="s">
        <v>409</v>
      </c>
      <c r="I125" s="820" t="s">
        <v>507</v>
      </c>
      <c r="J125" s="1087" t="s">
        <v>911</v>
      </c>
      <c r="K125" s="1054" t="s">
        <v>920</v>
      </c>
      <c r="L125" s="1025" t="s">
        <v>921</v>
      </c>
      <c r="M125" s="1025" t="s">
        <v>596</v>
      </c>
      <c r="N125" s="172" t="s">
        <v>597</v>
      </c>
      <c r="O125" s="172" t="s">
        <v>598</v>
      </c>
      <c r="P125" s="164" t="s">
        <v>591</v>
      </c>
      <c r="Q125" s="840" t="s">
        <v>418</v>
      </c>
      <c r="R125" s="488" t="s">
        <v>514</v>
      </c>
      <c r="S125" s="322" t="s">
        <v>448</v>
      </c>
      <c r="T125" s="1030" t="s">
        <v>599</v>
      </c>
      <c r="U125" s="819" t="s">
        <v>600</v>
      </c>
      <c r="V125" s="819" t="s">
        <v>601</v>
      </c>
      <c r="W125" s="819" t="s">
        <v>602</v>
      </c>
      <c r="X125" s="1101" t="s">
        <v>585</v>
      </c>
      <c r="Y125" s="175" t="s">
        <v>425</v>
      </c>
      <c r="Z125" s="545" t="s">
        <v>520</v>
      </c>
      <c r="AA125" s="819" t="s">
        <v>427</v>
      </c>
      <c r="AB125" s="819" t="s">
        <v>428</v>
      </c>
      <c r="AC125" s="1026" t="s">
        <v>429</v>
      </c>
      <c r="AD125" s="819" t="s">
        <v>541</v>
      </c>
      <c r="AE125" s="819" t="s">
        <v>529</v>
      </c>
      <c r="AF125" s="154" t="s">
        <v>523</v>
      </c>
      <c r="AG125" s="568" t="s">
        <v>570</v>
      </c>
      <c r="AH125" s="1031" t="s">
        <v>434</v>
      </c>
      <c r="AI125" s="1054" t="s">
        <v>346</v>
      </c>
      <c r="AJ125" s="1055" t="s">
        <v>435</v>
      </c>
      <c r="AK125" s="1074" t="s">
        <v>0</v>
      </c>
      <c r="AL125" s="1148" t="s">
        <v>27</v>
      </c>
      <c r="AM125" s="819" t="s">
        <v>402</v>
      </c>
      <c r="AN125" s="820" t="s">
        <v>343</v>
      </c>
      <c r="AO125" s="470" t="s">
        <v>436</v>
      </c>
      <c r="AQ125" s="703" t="s">
        <v>603</v>
      </c>
      <c r="AR125" s="418" t="s">
        <v>438</v>
      </c>
      <c r="AS125" s="418" t="s">
        <v>439</v>
      </c>
      <c r="AT125" s="361" t="s">
        <v>440</v>
      </c>
      <c r="AU125" s="861" t="s">
        <v>403</v>
      </c>
      <c r="AV125" s="861" t="s">
        <v>746</v>
      </c>
      <c r="BC125" s="978" t="s">
        <v>779</v>
      </c>
    </row>
    <row r="126" spans="1:61" s="147" customFormat="1">
      <c r="A126" s="795">
        <f>A118+1</f>
        <v>46</v>
      </c>
      <c r="B126" s="771">
        <f>B118+1</f>
        <v>37</v>
      </c>
      <c r="C126" s="273" t="s">
        <v>314</v>
      </c>
      <c r="D126" s="229">
        <v>247</v>
      </c>
      <c r="E126" s="230">
        <f>(2*D126)</f>
        <v>494</v>
      </c>
      <c r="F126" s="549">
        <f>(2*234)</f>
        <v>468</v>
      </c>
      <c r="G126" s="233">
        <f>F126*1.15</f>
        <v>538.19999999999993</v>
      </c>
      <c r="H126" s="236">
        <f>0.23*E126</f>
        <v>113.62</v>
      </c>
      <c r="I126" s="235">
        <f>(0.5*1.1*H126)</f>
        <v>62.491000000000007</v>
      </c>
      <c r="J126" s="874" t="s">
        <v>113</v>
      </c>
      <c r="K126" s="629" t="s">
        <v>113</v>
      </c>
      <c r="L126" s="629">
        <f>183-125</f>
        <v>58</v>
      </c>
      <c r="M126" s="629">
        <v>15</v>
      </c>
      <c r="N126" s="629">
        <v>160</v>
      </c>
      <c r="O126" s="629">
        <v>15</v>
      </c>
      <c r="P126" s="629">
        <v>42</v>
      </c>
      <c r="Q126" s="629">
        <f>SUM(J126:P126)</f>
        <v>290</v>
      </c>
      <c r="R126" s="323">
        <f>2*Q126</f>
        <v>580</v>
      </c>
      <c r="S126" s="659">
        <f>R126+(2*71)</f>
        <v>722</v>
      </c>
      <c r="T126" s="644">
        <v>0</v>
      </c>
      <c r="U126" s="608">
        <v>59</v>
      </c>
      <c r="V126" s="609">
        <v>13</v>
      </c>
      <c r="W126" s="608">
        <v>8.75</v>
      </c>
      <c r="X126" s="660">
        <f>SUM(T126:W126)</f>
        <v>80.75</v>
      </c>
      <c r="Y126" s="512">
        <f>2*X126</f>
        <v>161.5</v>
      </c>
      <c r="Z126" s="511">
        <f>Y126+(23)</f>
        <v>184.5</v>
      </c>
      <c r="AA126" s="612">
        <f>Z126-H126</f>
        <v>70.88</v>
      </c>
      <c r="AB126" s="618">
        <f>Z126-I126</f>
        <v>122.00899999999999</v>
      </c>
      <c r="AC126" s="630">
        <f>306-199</f>
        <v>107</v>
      </c>
      <c r="AD126" s="871">
        <f t="shared" ref="AD126:AD130" si="314">33.89+(0.2095*AC126)</f>
        <v>56.3065</v>
      </c>
      <c r="AE126" s="612">
        <f>X126-U126+AD126</f>
        <v>78.0565</v>
      </c>
      <c r="AF126" s="240">
        <f>2*AE126</f>
        <v>156.113</v>
      </c>
      <c r="AG126" s="252">
        <f>AF126+(23)</f>
        <v>179.113</v>
      </c>
      <c r="AH126" s="618">
        <f>AG126-I126</f>
        <v>116.62199999999999</v>
      </c>
      <c r="AI126" s="616" t="s">
        <v>345</v>
      </c>
      <c r="AJ126" s="1071">
        <v>74</v>
      </c>
      <c r="AK126" s="1071">
        <f>(2*AJ126)+(2*71)+(2*45)</f>
        <v>380</v>
      </c>
      <c r="AL126" s="1088">
        <v>-23</v>
      </c>
      <c r="AM126" s="612">
        <v>15</v>
      </c>
      <c r="AN126" s="235">
        <f>373+(23)+AM126</f>
        <v>411</v>
      </c>
      <c r="AO126" s="236">
        <f>Z126-AN126</f>
        <v>-226.5</v>
      </c>
      <c r="AP126" s="453"/>
      <c r="AQ126" s="273" t="s">
        <v>44</v>
      </c>
      <c r="AR126" s="695">
        <f>H126</f>
        <v>113.62</v>
      </c>
      <c r="AS126" s="695">
        <f>Z126</f>
        <v>184.5</v>
      </c>
      <c r="AT126" s="695">
        <f>AN126</f>
        <v>411</v>
      </c>
      <c r="AU126" s="774">
        <f>S126-G126</f>
        <v>183.80000000000007</v>
      </c>
      <c r="AV126" s="775">
        <f>AL126</f>
        <v>-23</v>
      </c>
      <c r="BC126" s="987">
        <f>B126</f>
        <v>37</v>
      </c>
      <c r="BF126" s="1287">
        <v>1</v>
      </c>
    </row>
    <row r="127" spans="1:61" s="694" customFormat="1">
      <c r="A127" s="795">
        <f>A126+1</f>
        <v>47</v>
      </c>
      <c r="B127" s="771">
        <f>B126+1</f>
        <v>38</v>
      </c>
      <c r="C127" s="273" t="s">
        <v>1251</v>
      </c>
      <c r="D127" s="229">
        <v>277</v>
      </c>
      <c r="E127" s="230">
        <f>(2*D127)</f>
        <v>554</v>
      </c>
      <c r="F127" s="549">
        <f>2*274</f>
        <v>548</v>
      </c>
      <c r="G127" s="233">
        <f>F127*1.15</f>
        <v>630.19999999999993</v>
      </c>
      <c r="H127" s="236">
        <f>0.23*E127</f>
        <v>127.42</v>
      </c>
      <c r="I127" s="235">
        <f>(0.5*1.1*H127)</f>
        <v>70.081000000000003</v>
      </c>
      <c r="J127" s="874" t="s">
        <v>113</v>
      </c>
      <c r="K127" s="874" t="s">
        <v>113</v>
      </c>
      <c r="L127" s="629">
        <f>183-102</f>
        <v>81</v>
      </c>
      <c r="M127" s="629">
        <v>15</v>
      </c>
      <c r="N127" s="629">
        <v>160</v>
      </c>
      <c r="O127" s="629">
        <v>15</v>
      </c>
      <c r="P127" s="629">
        <v>42</v>
      </c>
      <c r="Q127" s="629">
        <f>SUM(J127:P127)</f>
        <v>313</v>
      </c>
      <c r="R127" s="323">
        <f>2*Q127</f>
        <v>626</v>
      </c>
      <c r="S127" s="659">
        <f>R127+(2*71)</f>
        <v>768</v>
      </c>
      <c r="T127" s="644">
        <v>0</v>
      </c>
      <c r="U127" s="608">
        <v>64</v>
      </c>
      <c r="V127" s="609">
        <v>13</v>
      </c>
      <c r="W127" s="608">
        <v>8.75</v>
      </c>
      <c r="X127" s="660">
        <f>SUM(T127:W127)</f>
        <v>85.75</v>
      </c>
      <c r="Y127" s="512">
        <f>2*X127</f>
        <v>171.5</v>
      </c>
      <c r="Z127" s="511">
        <f>Y127+(23)</f>
        <v>194.5</v>
      </c>
      <c r="AA127" s="612">
        <f>Z127-H127</f>
        <v>67.08</v>
      </c>
      <c r="AB127" s="618">
        <f>Z127-I127</f>
        <v>124.419</v>
      </c>
      <c r="AC127" s="630">
        <v>131</v>
      </c>
      <c r="AD127" s="871">
        <f t="shared" si="314"/>
        <v>61.334499999999998</v>
      </c>
      <c r="AE127" s="612">
        <f>X127-U127+AD127</f>
        <v>83.084499999999991</v>
      </c>
      <c r="AF127" s="240">
        <f>2*AE127</f>
        <v>166.16899999999998</v>
      </c>
      <c r="AG127" s="252">
        <f>AF127+(23)</f>
        <v>189.16899999999998</v>
      </c>
      <c r="AH127" s="618">
        <f>AG127-I127</f>
        <v>119.08799999999998</v>
      </c>
      <c r="AI127" s="616" t="s">
        <v>345</v>
      </c>
      <c r="AJ127" s="1088">
        <v>74</v>
      </c>
      <c r="AK127" s="1071">
        <f>(2*AJ127)+(2*71)+(2*45)</f>
        <v>380</v>
      </c>
      <c r="AL127" s="1088">
        <f>S127-AK127</f>
        <v>388</v>
      </c>
      <c r="AM127" s="612">
        <v>15</v>
      </c>
      <c r="AN127" s="235">
        <f>373+(23)+AM127</f>
        <v>411</v>
      </c>
      <c r="AO127" s="236">
        <f>Z127-AN127</f>
        <v>-216.5</v>
      </c>
      <c r="AP127" s="453"/>
      <c r="AQ127" s="273" t="s">
        <v>1253</v>
      </c>
      <c r="AR127" s="695">
        <f t="shared" ref="AR127:AR130" si="315">H127</f>
        <v>127.42</v>
      </c>
      <c r="AS127" s="695">
        <f t="shared" ref="AS127:AS130" si="316">Z127</f>
        <v>194.5</v>
      </c>
      <c r="AT127" s="695">
        <f t="shared" ref="AT127:AT130" si="317">AN127</f>
        <v>411</v>
      </c>
      <c r="AU127" s="774">
        <f t="shared" ref="AU127:AU130" si="318">S127-G127</f>
        <v>137.80000000000007</v>
      </c>
      <c r="AV127" s="775">
        <f t="shared" ref="AV127:AV130" si="319">AL127</f>
        <v>388</v>
      </c>
      <c r="BC127" s="987">
        <f t="shared" ref="BC127:BC130" si="320">B127</f>
        <v>38</v>
      </c>
      <c r="BF127" s="1287">
        <v>1</v>
      </c>
    </row>
    <row r="128" spans="1:61" s="147" customFormat="1">
      <c r="A128" s="795">
        <f t="shared" ref="A128:A130" si="321">A127+1</f>
        <v>48</v>
      </c>
      <c r="B128" s="763">
        <f>B103+1</f>
        <v>10</v>
      </c>
      <c r="C128" s="273" t="s">
        <v>918</v>
      </c>
      <c r="D128" s="229">
        <v>282</v>
      </c>
      <c r="E128" s="230">
        <f>2*D128</f>
        <v>564</v>
      </c>
      <c r="F128" s="549">
        <f>(2*241)</f>
        <v>482</v>
      </c>
      <c r="G128" s="233">
        <f>F128*1.15</f>
        <v>554.29999999999995</v>
      </c>
      <c r="H128" s="236">
        <f t="shared" ref="H128:H130" si="322">0.23*E128</f>
        <v>129.72</v>
      </c>
      <c r="I128" s="235">
        <f>(0.5*1.1*H128)</f>
        <v>71.346000000000004</v>
      </c>
      <c r="J128" s="874" t="s">
        <v>113</v>
      </c>
      <c r="K128" s="629" t="s">
        <v>113</v>
      </c>
      <c r="L128" s="629">
        <v>183</v>
      </c>
      <c r="M128" s="629" t="s">
        <v>50</v>
      </c>
      <c r="N128" s="629" t="s">
        <v>50</v>
      </c>
      <c r="O128" s="629" t="s">
        <v>50</v>
      </c>
      <c r="P128" s="629" t="s">
        <v>50</v>
      </c>
      <c r="Q128" s="629">
        <f>SUM(J128:P128)</f>
        <v>183</v>
      </c>
      <c r="R128" s="323">
        <f>2*Q128</f>
        <v>366</v>
      </c>
      <c r="S128" s="659">
        <f>R128+(2*71)</f>
        <v>508</v>
      </c>
      <c r="T128" s="644">
        <v>0</v>
      </c>
      <c r="U128" s="608">
        <v>93</v>
      </c>
      <c r="V128" s="608" t="s">
        <v>112</v>
      </c>
      <c r="W128" s="608" t="s">
        <v>112</v>
      </c>
      <c r="X128" s="660">
        <f>SUM(T128:W128)</f>
        <v>93</v>
      </c>
      <c r="Y128" s="512">
        <f>2*X128</f>
        <v>186</v>
      </c>
      <c r="Z128" s="511">
        <f>Y128+(23)</f>
        <v>209</v>
      </c>
      <c r="AA128" s="612">
        <f>Z128-H128</f>
        <v>79.28</v>
      </c>
      <c r="AB128" s="618">
        <f>Z128-I128</f>
        <v>137.654</v>
      </c>
      <c r="AC128" s="630">
        <v>306</v>
      </c>
      <c r="AD128" s="871">
        <f t="shared" si="314"/>
        <v>97.997</v>
      </c>
      <c r="AE128" s="612">
        <f>X128-U128+AD128</f>
        <v>97.997</v>
      </c>
      <c r="AF128" s="240">
        <f>2*AE128</f>
        <v>195.994</v>
      </c>
      <c r="AG128" s="252">
        <f>AF128+(23)</f>
        <v>218.994</v>
      </c>
      <c r="AH128" s="618">
        <f>AG128-I128</f>
        <v>147.648</v>
      </c>
      <c r="AI128" s="616" t="s">
        <v>351</v>
      </c>
      <c r="AJ128" s="1075">
        <v>80</v>
      </c>
      <c r="AK128" s="1071">
        <f>(2*AJ128)+(2*71)+(2*45)</f>
        <v>392</v>
      </c>
      <c r="AL128" s="1075">
        <f>S128-AK128</f>
        <v>116</v>
      </c>
      <c r="AM128" s="666" t="s">
        <v>113</v>
      </c>
      <c r="AN128" s="235">
        <f>291+(23)</f>
        <v>314</v>
      </c>
      <c r="AO128" s="236">
        <f>Z128-AN128</f>
        <v>-105</v>
      </c>
      <c r="AP128" s="453"/>
      <c r="AQ128" s="273" t="s">
        <v>759</v>
      </c>
      <c r="AR128" s="695">
        <f t="shared" si="315"/>
        <v>129.72</v>
      </c>
      <c r="AS128" s="695">
        <f t="shared" si="316"/>
        <v>209</v>
      </c>
      <c r="AT128" s="695">
        <f t="shared" si="317"/>
        <v>314</v>
      </c>
      <c r="AU128" s="774">
        <f t="shared" si="318"/>
        <v>-46.299999999999955</v>
      </c>
      <c r="AV128" s="775">
        <f t="shared" si="319"/>
        <v>116</v>
      </c>
      <c r="BC128" s="988">
        <f t="shared" si="320"/>
        <v>10</v>
      </c>
      <c r="BH128" s="1287">
        <v>1</v>
      </c>
    </row>
    <row r="129" spans="1:67" s="242" customFormat="1">
      <c r="A129" s="795">
        <f t="shared" si="321"/>
        <v>49</v>
      </c>
      <c r="B129" s="771">
        <f>B127+1</f>
        <v>39</v>
      </c>
      <c r="C129" s="271" t="s">
        <v>1252</v>
      </c>
      <c r="D129" s="229">
        <v>236</v>
      </c>
      <c r="E129" s="230">
        <f>2*D129</f>
        <v>472</v>
      </c>
      <c r="F129" s="549">
        <f>(2*216)</f>
        <v>432</v>
      </c>
      <c r="G129" s="233">
        <f>F129*1.15</f>
        <v>496.79999999999995</v>
      </c>
      <c r="H129" s="236">
        <f t="shared" si="322"/>
        <v>108.56</v>
      </c>
      <c r="I129" s="235">
        <f>(0.5*1.1*H129)</f>
        <v>59.708000000000006</v>
      </c>
      <c r="J129" s="874" t="s">
        <v>113</v>
      </c>
      <c r="K129" s="874" t="s">
        <v>113</v>
      </c>
      <c r="L129" s="629">
        <f>183-102</f>
        <v>81</v>
      </c>
      <c r="M129" s="629">
        <v>15</v>
      </c>
      <c r="N129" s="790">
        <v>132</v>
      </c>
      <c r="O129" s="629" t="s">
        <v>50</v>
      </c>
      <c r="P129" s="629" t="s">
        <v>50</v>
      </c>
      <c r="Q129" s="629">
        <f>SUM(J129:P129)</f>
        <v>228</v>
      </c>
      <c r="R129" s="323">
        <f>2*Q129</f>
        <v>456</v>
      </c>
      <c r="S129" s="659">
        <f>R129+(2*71)</f>
        <v>598</v>
      </c>
      <c r="T129" s="644">
        <v>0</v>
      </c>
      <c r="U129" s="608">
        <v>64</v>
      </c>
      <c r="V129" s="608">
        <v>13</v>
      </c>
      <c r="W129" s="608" t="s">
        <v>112</v>
      </c>
      <c r="X129" s="660">
        <f>SUM(T129:W129)</f>
        <v>77</v>
      </c>
      <c r="Y129" s="512">
        <f>2*X129</f>
        <v>154</v>
      </c>
      <c r="Z129" s="511">
        <f>Y129+(23)</f>
        <v>177</v>
      </c>
      <c r="AA129" s="612">
        <f>Z129-H129</f>
        <v>68.44</v>
      </c>
      <c r="AB129" s="618">
        <f>Z129-I129</f>
        <v>117.292</v>
      </c>
      <c r="AC129" s="630">
        <f>(306-199)+29</f>
        <v>136</v>
      </c>
      <c r="AD129" s="871">
        <f t="shared" si="314"/>
        <v>62.381999999999998</v>
      </c>
      <c r="AE129" s="612">
        <f>X129-U129+AD129</f>
        <v>75.382000000000005</v>
      </c>
      <c r="AF129" s="240">
        <f>2*AE129</f>
        <v>150.76400000000001</v>
      </c>
      <c r="AG129" s="252">
        <f>AF129+(23)</f>
        <v>173.76400000000001</v>
      </c>
      <c r="AH129" s="618">
        <f>AG129-I129</f>
        <v>114.05600000000001</v>
      </c>
      <c r="AI129" s="616" t="s">
        <v>345</v>
      </c>
      <c r="AJ129" s="1088">
        <v>74</v>
      </c>
      <c r="AK129" s="1071">
        <f>(2*AJ129)+(2*71)+(2*45)</f>
        <v>380</v>
      </c>
      <c r="AL129" s="1088">
        <f>S129-AK129</f>
        <v>218</v>
      </c>
      <c r="AM129" s="612">
        <v>15</v>
      </c>
      <c r="AN129" s="235">
        <f>373+(23)+AM129</f>
        <v>411</v>
      </c>
      <c r="AO129" s="236">
        <f>Z129-AN129</f>
        <v>-234</v>
      </c>
      <c r="AP129" s="453"/>
      <c r="AQ129" s="271" t="s">
        <v>1254</v>
      </c>
      <c r="AR129" s="695">
        <f t="shared" si="315"/>
        <v>108.56</v>
      </c>
      <c r="AS129" s="695">
        <f t="shared" si="316"/>
        <v>177</v>
      </c>
      <c r="AT129" s="695">
        <f t="shared" si="317"/>
        <v>411</v>
      </c>
      <c r="AU129" s="774">
        <f t="shared" si="318"/>
        <v>101.20000000000005</v>
      </c>
      <c r="AV129" s="775">
        <f t="shared" si="319"/>
        <v>218</v>
      </c>
      <c r="BC129" s="987">
        <f t="shared" si="320"/>
        <v>39</v>
      </c>
      <c r="BF129" s="1287">
        <v>1</v>
      </c>
    </row>
    <row r="130" spans="1:67" s="242" customFormat="1">
      <c r="A130" s="795">
        <f t="shared" si="321"/>
        <v>50</v>
      </c>
      <c r="B130" s="771">
        <f t="shared" ref="B130" si="323">B129+1</f>
        <v>40</v>
      </c>
      <c r="C130" s="271" t="s">
        <v>234</v>
      </c>
      <c r="D130" s="229">
        <v>289</v>
      </c>
      <c r="E130" s="230">
        <f>2*D130</f>
        <v>578</v>
      </c>
      <c r="F130" s="549">
        <f>2*262</f>
        <v>524</v>
      </c>
      <c r="G130" s="233">
        <f>F130*1.15</f>
        <v>602.59999999999991</v>
      </c>
      <c r="H130" s="236">
        <f t="shared" si="322"/>
        <v>132.94</v>
      </c>
      <c r="I130" s="235">
        <f>0.5*(H130*1.1)</f>
        <v>73.117000000000004</v>
      </c>
      <c r="J130" s="874">
        <f>240-200</f>
        <v>40</v>
      </c>
      <c r="K130" s="629">
        <v>15</v>
      </c>
      <c r="L130" s="629">
        <f>183-102</f>
        <v>81</v>
      </c>
      <c r="M130" s="629">
        <v>15</v>
      </c>
      <c r="N130" s="790">
        <v>160</v>
      </c>
      <c r="O130" s="629">
        <v>15</v>
      </c>
      <c r="P130" s="629">
        <v>39</v>
      </c>
      <c r="Q130" s="629">
        <f>SUM(J130:P130)</f>
        <v>365</v>
      </c>
      <c r="R130" s="323">
        <f>2*Q130</f>
        <v>730</v>
      </c>
      <c r="S130" s="659">
        <f>R130+(2*71)</f>
        <v>872</v>
      </c>
      <c r="T130" s="644">
        <v>1</v>
      </c>
      <c r="U130" s="608">
        <v>64</v>
      </c>
      <c r="V130" s="608">
        <v>13</v>
      </c>
      <c r="W130" s="608">
        <v>6.5</v>
      </c>
      <c r="X130" s="660">
        <f>SUM(T130:W130)</f>
        <v>84.5</v>
      </c>
      <c r="Y130" s="512">
        <f>2*X130</f>
        <v>169</v>
      </c>
      <c r="Z130" s="511">
        <f>Y130+(23)</f>
        <v>192</v>
      </c>
      <c r="AA130" s="612">
        <f>Z130-H130</f>
        <v>59.06</v>
      </c>
      <c r="AB130" s="618">
        <f>Z130-I130</f>
        <v>118.883</v>
      </c>
      <c r="AC130" s="630">
        <v>136</v>
      </c>
      <c r="AD130" s="871">
        <f t="shared" si="314"/>
        <v>62.381999999999998</v>
      </c>
      <c r="AE130" s="612">
        <f>X130-U130+AD130</f>
        <v>82.882000000000005</v>
      </c>
      <c r="AF130" s="240">
        <f>2*AE130</f>
        <v>165.76400000000001</v>
      </c>
      <c r="AG130" s="252">
        <f>AF130+(23)</f>
        <v>188.76400000000001</v>
      </c>
      <c r="AH130" s="618">
        <f>AG130-I130</f>
        <v>115.64700000000001</v>
      </c>
      <c r="AI130" s="616" t="s">
        <v>345</v>
      </c>
      <c r="AJ130" s="1088">
        <v>74</v>
      </c>
      <c r="AK130" s="1071">
        <f>(2*AJ130)+(2*71)+(2*45)</f>
        <v>380</v>
      </c>
      <c r="AL130" s="1088">
        <f>S130-AK130</f>
        <v>492</v>
      </c>
      <c r="AM130" s="612">
        <f>15+15</f>
        <v>30</v>
      </c>
      <c r="AN130" s="235">
        <f>373+(23)+AM130</f>
        <v>426</v>
      </c>
      <c r="AO130" s="236">
        <f>Z130-AN130</f>
        <v>-234</v>
      </c>
      <c r="AP130" s="453"/>
      <c r="AQ130" s="271" t="s">
        <v>45</v>
      </c>
      <c r="AR130" s="695">
        <f t="shared" si="315"/>
        <v>132.94</v>
      </c>
      <c r="AS130" s="695">
        <f t="shared" si="316"/>
        <v>192</v>
      </c>
      <c r="AT130" s="695">
        <f t="shared" si="317"/>
        <v>426</v>
      </c>
      <c r="AU130" s="774">
        <f t="shared" si="318"/>
        <v>269.40000000000009</v>
      </c>
      <c r="AV130" s="775">
        <f t="shared" si="319"/>
        <v>492</v>
      </c>
      <c r="BC130" s="987">
        <f t="shared" si="320"/>
        <v>40</v>
      </c>
      <c r="BF130" s="1287">
        <v>1</v>
      </c>
    </row>
    <row r="131" spans="1:67" ht="341" customHeight="1">
      <c r="A131" s="799"/>
      <c r="C131" s="1044" t="s">
        <v>6</v>
      </c>
      <c r="D131" s="1427" t="s">
        <v>910</v>
      </c>
      <c r="E131" s="1445"/>
      <c r="F131" s="872" t="s">
        <v>872</v>
      </c>
      <c r="G131" s="1099" t="s">
        <v>873</v>
      </c>
      <c r="H131" s="1046" t="s">
        <v>190</v>
      </c>
      <c r="I131" s="844"/>
      <c r="J131" s="866" t="s">
        <v>221</v>
      </c>
      <c r="K131" s="866" t="s">
        <v>922</v>
      </c>
      <c r="L131" s="866" t="s">
        <v>224</v>
      </c>
      <c r="M131" s="866" t="s">
        <v>922</v>
      </c>
      <c r="N131" s="866" t="s">
        <v>211</v>
      </c>
      <c r="O131" s="866" t="s">
        <v>922</v>
      </c>
      <c r="P131" s="843"/>
      <c r="Q131" s="849"/>
      <c r="R131" s="333"/>
      <c r="S131" s="1007" t="s">
        <v>1162</v>
      </c>
      <c r="T131" s="867" t="s">
        <v>923</v>
      </c>
      <c r="U131" s="1044" t="s">
        <v>129</v>
      </c>
      <c r="V131" s="1109" t="s">
        <v>924</v>
      </c>
      <c r="W131" s="1019" t="s">
        <v>43</v>
      </c>
      <c r="X131" s="12"/>
      <c r="Y131" s="132"/>
      <c r="Z131" s="1034" t="s">
        <v>1170</v>
      </c>
      <c r="AA131" s="143"/>
      <c r="AB131" s="1036" t="s">
        <v>220</v>
      </c>
      <c r="AC131" s="589" t="s">
        <v>925</v>
      </c>
      <c r="AD131" s="733" t="s">
        <v>127</v>
      </c>
      <c r="AE131" s="120"/>
      <c r="AF131" s="370"/>
      <c r="AG131" s="1067" t="s">
        <v>1170</v>
      </c>
      <c r="AH131" s="569"/>
      <c r="AI131" s="1077"/>
      <c r="AJ131" s="1078" t="s">
        <v>1153</v>
      </c>
      <c r="AK131" s="1149" t="s">
        <v>3</v>
      </c>
      <c r="AL131" s="1113"/>
      <c r="AM131" s="754"/>
      <c r="AN131" s="752" t="s">
        <v>313</v>
      </c>
      <c r="AO131" s="61"/>
      <c r="AP131" s="562"/>
      <c r="AQ131" s="1012" t="s">
        <v>926</v>
      </c>
      <c r="AR131" s="103"/>
      <c r="AS131" s="103"/>
      <c r="AT131" s="103"/>
    </row>
    <row r="132" spans="1:67" ht="17">
      <c r="A132" s="799"/>
      <c r="C132" s="118"/>
      <c r="D132" s="118"/>
      <c r="E132" s="44"/>
      <c r="F132" s="45"/>
      <c r="G132" s="44"/>
      <c r="H132" s="49"/>
      <c r="I132" s="65"/>
      <c r="J132" s="182"/>
      <c r="K132" s="126" t="s">
        <v>82</v>
      </c>
      <c r="L132" s="65"/>
      <c r="M132" s="65"/>
      <c r="N132" s="65"/>
      <c r="O132" s="65"/>
      <c r="P132" s="651"/>
      <c r="Q132" s="65"/>
      <c r="R132" s="127"/>
      <c r="S132" s="49"/>
      <c r="T132" s="49"/>
      <c r="U132" s="49"/>
      <c r="V132" s="49"/>
      <c r="W132" s="131"/>
      <c r="X132" s="49"/>
      <c r="Y132" s="36"/>
      <c r="Z132" s="36"/>
      <c r="AA132" s="50"/>
      <c r="AB132" s="81"/>
      <c r="AC132" s="131"/>
      <c r="AD132" s="131"/>
      <c r="AE132" s="131"/>
      <c r="AF132" s="28"/>
      <c r="AG132" s="28"/>
      <c r="AH132" s="137"/>
      <c r="AI132" s="137"/>
      <c r="AJ132" s="59"/>
      <c r="AK132" s="42"/>
      <c r="AL132" s="64"/>
      <c r="AM132" s="64"/>
      <c r="AN132" s="131"/>
      <c r="AO132" s="49"/>
      <c r="AV132" s="1278" t="s">
        <v>82</v>
      </c>
    </row>
    <row r="133" spans="1:67" s="12" customFormat="1">
      <c r="A133" s="799"/>
      <c r="B133" s="124"/>
      <c r="C133" s="118"/>
      <c r="D133" s="118"/>
      <c r="E133" s="135"/>
      <c r="F133" s="575"/>
      <c r="G133" s="135"/>
      <c r="H133" s="131"/>
      <c r="I133" s="140"/>
      <c r="J133" s="126"/>
      <c r="K133" s="126"/>
      <c r="L133" s="140"/>
      <c r="M133" s="140"/>
      <c r="N133" s="140"/>
      <c r="O133" s="140"/>
      <c r="P133" s="140"/>
      <c r="Q133" s="140"/>
      <c r="R133" s="127"/>
      <c r="S133" s="131"/>
      <c r="T133" s="131"/>
      <c r="U133" s="131"/>
      <c r="V133" s="131"/>
      <c r="W133" s="131"/>
      <c r="X133" s="131"/>
      <c r="Y133" s="28"/>
      <c r="Z133" s="28"/>
      <c r="AA133" s="70"/>
      <c r="AB133" s="81"/>
      <c r="AC133" s="131"/>
      <c r="AD133" s="131"/>
      <c r="AE133" s="131"/>
      <c r="AF133" s="28"/>
      <c r="AG133" s="28"/>
      <c r="AH133" s="137"/>
      <c r="AI133" s="137"/>
      <c r="AJ133" s="60"/>
      <c r="AK133" s="127"/>
      <c r="AL133" s="141"/>
      <c r="AM133" s="141"/>
      <c r="AN133" s="131"/>
      <c r="AO133" s="131"/>
      <c r="AP133" s="446"/>
      <c r="BC133" s="166"/>
    </row>
    <row r="134" spans="1:67">
      <c r="A134" s="799"/>
      <c r="B134" s="354" t="s">
        <v>295</v>
      </c>
      <c r="C134" s="1421" t="s">
        <v>503</v>
      </c>
      <c r="D134" s="1422"/>
      <c r="E134" s="1422"/>
      <c r="F134" s="1422"/>
      <c r="G134" s="1422"/>
      <c r="H134" s="1422"/>
      <c r="I134" s="1422"/>
      <c r="J134" s="1422"/>
      <c r="K134" s="1422"/>
      <c r="L134" s="1422"/>
      <c r="M134" s="1422"/>
      <c r="N134" s="1422"/>
      <c r="O134" s="1422"/>
      <c r="P134" s="1422"/>
      <c r="Q134" s="1422"/>
      <c r="R134" s="1422"/>
      <c r="S134" s="1422"/>
      <c r="T134" s="1423"/>
      <c r="U134" s="1423"/>
      <c r="V134" s="1423"/>
      <c r="W134" s="1423"/>
      <c r="X134" s="1423"/>
      <c r="Y134" s="1423"/>
      <c r="Z134" s="1423"/>
      <c r="AA134" s="1423"/>
      <c r="AB134" s="1423"/>
      <c r="AC134" s="1423"/>
      <c r="AD134" s="1423"/>
      <c r="AE134" s="1423"/>
      <c r="AF134" s="1423"/>
      <c r="AG134" s="1423"/>
      <c r="AH134" s="1423"/>
      <c r="AI134" s="1423"/>
      <c r="AJ134" s="1423"/>
      <c r="AK134" s="42"/>
      <c r="AL134" s="36"/>
      <c r="AM134" s="36"/>
      <c r="AN134" s="61"/>
      <c r="AO134" s="61"/>
    </row>
    <row r="135" spans="1:67" s="1128" customFormat="1" ht="30" customHeight="1">
      <c r="A135" s="1126"/>
      <c r="B135" s="1116"/>
      <c r="C135" s="1117" t="s">
        <v>116</v>
      </c>
      <c r="D135" s="1424" t="s">
        <v>39</v>
      </c>
      <c r="E135" s="1425"/>
      <c r="F135" s="1425"/>
      <c r="G135" s="1425"/>
      <c r="H135" s="1425"/>
      <c r="I135" s="1426"/>
      <c r="J135" s="1439" t="s">
        <v>106</v>
      </c>
      <c r="K135" s="1442"/>
      <c r="L135" s="1442"/>
      <c r="M135" s="1442"/>
      <c r="N135" s="1442"/>
      <c r="O135" s="1442"/>
      <c r="P135" s="1442"/>
      <c r="Q135" s="1442"/>
      <c r="R135" s="1439" t="s">
        <v>22</v>
      </c>
      <c r="S135" s="1440"/>
      <c r="T135" s="1409" t="s">
        <v>136</v>
      </c>
      <c r="U135" s="1410"/>
      <c r="V135" s="1410"/>
      <c r="W135" s="1410"/>
      <c r="X135" s="1410"/>
      <c r="Y135" s="1411" t="s">
        <v>126</v>
      </c>
      <c r="Z135" s="1412"/>
      <c r="AA135" s="1141"/>
      <c r="AB135" s="1142"/>
      <c r="AC135" s="1413" t="s">
        <v>101</v>
      </c>
      <c r="AD135" s="1414"/>
      <c r="AE135" s="1414"/>
      <c r="AF135" s="1415" t="s">
        <v>23</v>
      </c>
      <c r="AG135" s="1416"/>
      <c r="AH135" s="1143"/>
      <c r="AI135" s="1434" t="s">
        <v>25</v>
      </c>
      <c r="AJ135" s="1435"/>
      <c r="AK135" s="1435"/>
      <c r="AL135" s="1435"/>
      <c r="AM135" s="1435"/>
      <c r="AN135" s="1436"/>
      <c r="AO135" s="1120"/>
      <c r="AP135" s="1125"/>
      <c r="AV135" s="1315" t="s">
        <v>82</v>
      </c>
      <c r="BC135" s="1129"/>
    </row>
    <row r="136" spans="1:67">
      <c r="A136" s="799"/>
      <c r="C136" s="507"/>
      <c r="D136" s="86">
        <v>1</v>
      </c>
      <c r="E136" s="38">
        <f>D136+1</f>
        <v>2</v>
      </c>
      <c r="F136" s="574">
        <f>E136+1</f>
        <v>3</v>
      </c>
      <c r="G136" s="38">
        <f>F136+1</f>
        <v>4</v>
      </c>
      <c r="H136" s="38">
        <f>G136+1</f>
        <v>5</v>
      </c>
      <c r="I136" s="87">
        <f t="shared" ref="I136:AE136" si="324">H136+1</f>
        <v>6</v>
      </c>
      <c r="J136" s="86">
        <f t="shared" si="324"/>
        <v>7</v>
      </c>
      <c r="K136" s="117">
        <f>J136+1</f>
        <v>8</v>
      </c>
      <c r="L136" s="38">
        <f>K136+1</f>
        <v>9</v>
      </c>
      <c r="M136" s="38">
        <f t="shared" si="324"/>
        <v>10</v>
      </c>
      <c r="N136" s="38">
        <f t="shared" si="324"/>
        <v>11</v>
      </c>
      <c r="O136" s="38">
        <f t="shared" si="324"/>
        <v>12</v>
      </c>
      <c r="P136" s="38">
        <f t="shared" si="324"/>
        <v>13</v>
      </c>
      <c r="Q136" s="38">
        <f t="shared" si="324"/>
        <v>14</v>
      </c>
      <c r="R136" s="358">
        <f>Q136+1</f>
        <v>15</v>
      </c>
      <c r="S136" s="359">
        <f t="shared" si="324"/>
        <v>16</v>
      </c>
      <c r="T136" s="86">
        <f t="shared" si="324"/>
        <v>17</v>
      </c>
      <c r="U136" s="38">
        <f t="shared" si="324"/>
        <v>18</v>
      </c>
      <c r="V136" s="38">
        <f t="shared" si="324"/>
        <v>19</v>
      </c>
      <c r="W136" s="38">
        <f t="shared" si="324"/>
        <v>20</v>
      </c>
      <c r="X136" s="38">
        <f>W136+1</f>
        <v>21</v>
      </c>
      <c r="Y136" s="358">
        <f>X136+1</f>
        <v>22</v>
      </c>
      <c r="Z136" s="359">
        <f t="shared" si="324"/>
        <v>23</v>
      </c>
      <c r="AA136" s="86">
        <f t="shared" si="324"/>
        <v>24</v>
      </c>
      <c r="AB136" s="87">
        <f t="shared" si="324"/>
        <v>25</v>
      </c>
      <c r="AC136" s="358">
        <f t="shared" si="324"/>
        <v>26</v>
      </c>
      <c r="AD136" s="117">
        <f t="shared" si="324"/>
        <v>27</v>
      </c>
      <c r="AE136" s="117">
        <f t="shared" si="324"/>
        <v>28</v>
      </c>
      <c r="AF136" s="358">
        <f>AE136+1</f>
        <v>29</v>
      </c>
      <c r="AG136" s="359">
        <f t="shared" ref="AG136:AL136" si="325">AF136+1</f>
        <v>30</v>
      </c>
      <c r="AH136" s="359">
        <f t="shared" si="325"/>
        <v>31</v>
      </c>
      <c r="AI136" s="364">
        <f>AH136+1</f>
        <v>32</v>
      </c>
      <c r="AJ136" s="38">
        <f>AI136+1</f>
        <v>33</v>
      </c>
      <c r="AK136" s="38">
        <f t="shared" si="325"/>
        <v>34</v>
      </c>
      <c r="AL136" s="38">
        <f t="shared" si="325"/>
        <v>35</v>
      </c>
      <c r="AM136" s="38">
        <f t="shared" ref="AM136" si="326">AL136+1</f>
        <v>36</v>
      </c>
      <c r="AN136" s="359">
        <f>AM136+1</f>
        <v>37</v>
      </c>
      <c r="AO136" s="38">
        <f>AN136+1</f>
        <v>38</v>
      </c>
    </row>
    <row r="137" spans="1:67" ht="124" customHeight="1">
      <c r="A137" s="799"/>
      <c r="B137" s="124"/>
      <c r="C137" s="1091" t="s">
        <v>604</v>
      </c>
      <c r="D137" s="149" t="s">
        <v>605</v>
      </c>
      <c r="E137" s="150" t="s">
        <v>606</v>
      </c>
      <c r="F137" s="320" t="s">
        <v>506</v>
      </c>
      <c r="G137" s="320" t="s">
        <v>408</v>
      </c>
      <c r="H137" s="418" t="s">
        <v>409</v>
      </c>
      <c r="I137" s="820" t="s">
        <v>507</v>
      </c>
      <c r="J137" s="1026" t="s">
        <v>929</v>
      </c>
      <c r="K137" s="1025" t="s">
        <v>930</v>
      </c>
      <c r="L137" s="1025" t="s">
        <v>931</v>
      </c>
      <c r="M137" s="1025" t="s">
        <v>932</v>
      </c>
      <c r="N137" s="1025" t="s">
        <v>608</v>
      </c>
      <c r="O137" s="1025" t="s">
        <v>609</v>
      </c>
      <c r="P137" s="1025" t="s">
        <v>610</v>
      </c>
      <c r="Q137" s="1027" t="s">
        <v>418</v>
      </c>
      <c r="R137" s="488" t="s">
        <v>514</v>
      </c>
      <c r="S137" s="322" t="s">
        <v>448</v>
      </c>
      <c r="T137" s="819" t="s">
        <v>933</v>
      </c>
      <c r="U137" s="819" t="s">
        <v>612</v>
      </c>
      <c r="V137" s="819" t="s">
        <v>613</v>
      </c>
      <c r="W137" s="819" t="s">
        <v>484</v>
      </c>
      <c r="X137" s="1101" t="s">
        <v>614</v>
      </c>
      <c r="Y137" s="175" t="s">
        <v>425</v>
      </c>
      <c r="Z137" s="545" t="s">
        <v>520</v>
      </c>
      <c r="AA137" s="819" t="s">
        <v>427</v>
      </c>
      <c r="AB137" s="819" t="s">
        <v>428</v>
      </c>
      <c r="AC137" s="1026" t="s">
        <v>429</v>
      </c>
      <c r="AD137" s="819" t="s">
        <v>541</v>
      </c>
      <c r="AE137" s="819" t="s">
        <v>529</v>
      </c>
      <c r="AF137" s="154" t="s">
        <v>615</v>
      </c>
      <c r="AG137" s="568" t="s">
        <v>570</v>
      </c>
      <c r="AH137" s="1031" t="s">
        <v>434</v>
      </c>
      <c r="AI137" s="1025" t="s">
        <v>346</v>
      </c>
      <c r="AJ137" s="1032" t="s">
        <v>435</v>
      </c>
      <c r="AK137" s="1111" t="s">
        <v>0</v>
      </c>
      <c r="AL137" s="1024" t="s">
        <v>26</v>
      </c>
      <c r="AM137" s="819" t="s">
        <v>402</v>
      </c>
      <c r="AN137" s="820" t="s">
        <v>343</v>
      </c>
      <c r="AO137" s="249" t="s">
        <v>436</v>
      </c>
      <c r="AQ137" s="1068" t="s">
        <v>938</v>
      </c>
      <c r="AR137" s="418" t="s">
        <v>438</v>
      </c>
      <c r="AS137" s="418" t="s">
        <v>439</v>
      </c>
      <c r="AT137" s="361" t="s">
        <v>440</v>
      </c>
      <c r="AU137" s="861" t="s">
        <v>403</v>
      </c>
      <c r="AV137" s="861" t="s">
        <v>746</v>
      </c>
      <c r="BC137" s="978" t="s">
        <v>779</v>
      </c>
    </row>
    <row r="138" spans="1:67" s="242" customFormat="1">
      <c r="A138" s="795">
        <f>A130+1</f>
        <v>51</v>
      </c>
      <c r="B138" s="771">
        <f>B130+1</f>
        <v>41</v>
      </c>
      <c r="C138" s="772" t="s">
        <v>321</v>
      </c>
      <c r="D138" s="630">
        <v>49</v>
      </c>
      <c r="E138" s="629">
        <f>(2*D138)</f>
        <v>98</v>
      </c>
      <c r="F138" s="877">
        <f>(2*44)</f>
        <v>88</v>
      </c>
      <c r="G138" s="629">
        <f>F138*1.15</f>
        <v>101.19999999999999</v>
      </c>
      <c r="H138" s="236">
        <f>(E138*0.23)</f>
        <v>22.540000000000003</v>
      </c>
      <c r="I138" s="235">
        <f>0.5*(H138*1.1)</f>
        <v>12.397000000000002</v>
      </c>
      <c r="J138" s="629" t="s">
        <v>112</v>
      </c>
      <c r="K138" s="875">
        <v>60</v>
      </c>
      <c r="L138" s="629" t="s">
        <v>112</v>
      </c>
      <c r="M138" s="629" t="s">
        <v>112</v>
      </c>
      <c r="N138" s="629" t="s">
        <v>112</v>
      </c>
      <c r="O138" s="629" t="s">
        <v>112</v>
      </c>
      <c r="P138" s="629" t="s">
        <v>112</v>
      </c>
      <c r="Q138" s="875">
        <f>SUM(J138:P138)</f>
        <v>60</v>
      </c>
      <c r="R138" s="1151">
        <f>2*Q138</f>
        <v>120</v>
      </c>
      <c r="S138" s="1152">
        <f>R138+(2*71)</f>
        <v>262</v>
      </c>
      <c r="T138" s="644">
        <v>10</v>
      </c>
      <c r="U138" s="612">
        <v>0</v>
      </c>
      <c r="V138" s="773" t="s">
        <v>112</v>
      </c>
      <c r="W138" s="773" t="s">
        <v>112</v>
      </c>
      <c r="X138" s="612">
        <f>SUM(T138:W138)</f>
        <v>10</v>
      </c>
      <c r="Y138" s="1153">
        <f t="shared" ref="Y138" si="327">2*X138</f>
        <v>20</v>
      </c>
      <c r="Z138" s="1154">
        <f t="shared" ref="Z138" si="328">Y138+(23)</f>
        <v>43</v>
      </c>
      <c r="AA138" s="612">
        <f t="shared" ref="AA138" si="329">Z138-H138</f>
        <v>20.459999999999997</v>
      </c>
      <c r="AB138" s="618">
        <f t="shared" ref="AB138" si="330">Z138-I138</f>
        <v>30.602999999999998</v>
      </c>
      <c r="AC138" s="630">
        <v>0</v>
      </c>
      <c r="AD138" s="612">
        <v>0</v>
      </c>
      <c r="AE138" s="612">
        <f>X138-U138+AD138</f>
        <v>10</v>
      </c>
      <c r="AF138" s="240">
        <f t="shared" ref="AF138" si="331">2*AE138</f>
        <v>20</v>
      </c>
      <c r="AG138" s="252">
        <f>AF138+(23)</f>
        <v>43</v>
      </c>
      <c r="AH138" s="618">
        <f>AG138-I138</f>
        <v>30.602999999999998</v>
      </c>
      <c r="AI138" s="1076" t="s">
        <v>360</v>
      </c>
      <c r="AJ138" s="1071">
        <v>14</v>
      </c>
      <c r="AK138" s="1106">
        <f t="shared" ref="AK138:AK139" si="332">(2*AJ138)+(2*71)+(2*45)</f>
        <v>260</v>
      </c>
      <c r="AL138" s="1106">
        <f t="shared" ref="AL138:AL139" si="333">S138-AK138</f>
        <v>2</v>
      </c>
      <c r="AM138" s="666" t="s">
        <v>113</v>
      </c>
      <c r="AN138" s="235">
        <f>(1864+23)</f>
        <v>1887</v>
      </c>
      <c r="AO138" s="236">
        <f t="shared" ref="AO138:AO139" si="334">Z138-AN138</f>
        <v>-1844</v>
      </c>
      <c r="AP138" s="865"/>
      <c r="AQ138" s="772" t="s">
        <v>322</v>
      </c>
      <c r="AR138" s="695">
        <f>H138</f>
        <v>22.540000000000003</v>
      </c>
      <c r="AS138" s="695">
        <f>Z138</f>
        <v>43</v>
      </c>
      <c r="AT138" s="695">
        <f>AN138</f>
        <v>1887</v>
      </c>
      <c r="AU138" s="774">
        <f>S138-G138</f>
        <v>160.80000000000001</v>
      </c>
      <c r="AV138" s="775">
        <f>AL138</f>
        <v>2</v>
      </c>
      <c r="BC138" s="987">
        <f>B138</f>
        <v>41</v>
      </c>
      <c r="BO138" s="242">
        <v>1</v>
      </c>
    </row>
    <row r="139" spans="1:67" s="762" customFormat="1">
      <c r="A139" s="795">
        <f>A138+1</f>
        <v>52</v>
      </c>
      <c r="B139" s="771">
        <f>B138+1</f>
        <v>42</v>
      </c>
      <c r="C139" s="278" t="s">
        <v>229</v>
      </c>
      <c r="D139" s="630">
        <v>115</v>
      </c>
      <c r="E139" s="1150">
        <f>(2*D139)</f>
        <v>230</v>
      </c>
      <c r="F139" s="1093">
        <f>(2*106)</f>
        <v>212</v>
      </c>
      <c r="G139" s="629">
        <f>F139*1.15</f>
        <v>243.79999999999998</v>
      </c>
      <c r="H139" s="236">
        <f>(E139*0.23)</f>
        <v>52.900000000000006</v>
      </c>
      <c r="I139" s="231">
        <f>0.5*(H139*1.1)</f>
        <v>29.095000000000006</v>
      </c>
      <c r="J139" s="1150" t="s">
        <v>112</v>
      </c>
      <c r="K139" s="875">
        <v>200</v>
      </c>
      <c r="L139" s="629" t="s">
        <v>112</v>
      </c>
      <c r="M139" s="629" t="s">
        <v>112</v>
      </c>
      <c r="N139" s="1150" t="s">
        <v>112</v>
      </c>
      <c r="O139" s="1150" t="s">
        <v>112</v>
      </c>
      <c r="P139" s="1150" t="s">
        <v>112</v>
      </c>
      <c r="Q139" s="1060">
        <f>SUM(J139:P139)</f>
        <v>200</v>
      </c>
      <c r="R139" s="323">
        <f>2*Q139</f>
        <v>400</v>
      </c>
      <c r="S139" s="643">
        <f>R139+(2*71)</f>
        <v>542</v>
      </c>
      <c r="T139" s="644">
        <v>10</v>
      </c>
      <c r="U139" s="612">
        <v>0</v>
      </c>
      <c r="V139" s="773" t="s">
        <v>112</v>
      </c>
      <c r="W139" s="773" t="s">
        <v>112</v>
      </c>
      <c r="X139" s="612">
        <f>SUM(T139:W139)</f>
        <v>10</v>
      </c>
      <c r="Y139" s="510">
        <f t="shared" ref="Y139" si="335">2*X139</f>
        <v>20</v>
      </c>
      <c r="Z139" s="511">
        <f t="shared" ref="Z139" si="336">Y139+(23)</f>
        <v>43</v>
      </c>
      <c r="AA139" s="612">
        <f t="shared" ref="AA139" si="337">Z139-H139</f>
        <v>-9.9000000000000057</v>
      </c>
      <c r="AB139" s="618">
        <f t="shared" ref="AB139" si="338">Z139-I139</f>
        <v>13.904999999999994</v>
      </c>
      <c r="AC139" s="630">
        <v>0</v>
      </c>
      <c r="AD139" s="612">
        <v>0</v>
      </c>
      <c r="AE139" s="612">
        <f>X139-U139+AD139</f>
        <v>10</v>
      </c>
      <c r="AF139" s="240">
        <f t="shared" ref="AF139" si="339">2*AE139</f>
        <v>20</v>
      </c>
      <c r="AG139" s="252">
        <f>AF139+(23)</f>
        <v>43</v>
      </c>
      <c r="AH139" s="618">
        <f>AG139-I139</f>
        <v>13.904999999999994</v>
      </c>
      <c r="AI139" s="1076" t="s">
        <v>348</v>
      </c>
      <c r="AJ139" s="1071">
        <v>220</v>
      </c>
      <c r="AK139" s="1089">
        <f t="shared" si="332"/>
        <v>672</v>
      </c>
      <c r="AL139" s="1089">
        <f t="shared" si="333"/>
        <v>-130</v>
      </c>
      <c r="AM139" s="611">
        <v>15</v>
      </c>
      <c r="AN139" s="235">
        <f>(638)+(23)+AM139</f>
        <v>676</v>
      </c>
      <c r="AO139" s="236">
        <f t="shared" si="334"/>
        <v>-633</v>
      </c>
      <c r="AP139" s="453"/>
      <c r="AQ139" s="278" t="s">
        <v>260</v>
      </c>
      <c r="AR139" s="695">
        <f>H139</f>
        <v>52.900000000000006</v>
      </c>
      <c r="AS139" s="695">
        <f>Z139</f>
        <v>43</v>
      </c>
      <c r="AT139" s="695">
        <f>AN139</f>
        <v>676</v>
      </c>
      <c r="AU139" s="774">
        <f>S139-G139</f>
        <v>298.20000000000005</v>
      </c>
      <c r="AV139" s="775">
        <f>AL139</f>
        <v>-130</v>
      </c>
      <c r="BC139" s="987">
        <f t="shared" ref="BC139:BC142" si="340">B139</f>
        <v>42</v>
      </c>
      <c r="BO139" s="762">
        <v>1</v>
      </c>
    </row>
    <row r="140" spans="1:67" s="655" customFormat="1">
      <c r="A140" s="795">
        <f>A139+1</f>
        <v>53</v>
      </c>
      <c r="B140" s="771">
        <f t="shared" ref="B140:B142" si="341">B139+1</f>
        <v>43</v>
      </c>
      <c r="C140" s="278" t="s">
        <v>228</v>
      </c>
      <c r="D140" s="630">
        <v>148</v>
      </c>
      <c r="E140" s="1150">
        <f t="shared" ref="E140:E142" si="342">(2*D140)</f>
        <v>296</v>
      </c>
      <c r="F140" s="1093">
        <f>2*132</f>
        <v>264</v>
      </c>
      <c r="G140" s="629">
        <f t="shared" ref="G140:G142" si="343">F140*1.15</f>
        <v>303.59999999999997</v>
      </c>
      <c r="H140" s="236">
        <f>(E140*0.23)</f>
        <v>68.08</v>
      </c>
      <c r="I140" s="231">
        <f t="shared" ref="I140:I142" si="344">0.5*(H140*1.1)</f>
        <v>37.444000000000003</v>
      </c>
      <c r="J140" s="1150" t="s">
        <v>112</v>
      </c>
      <c r="K140" s="875">
        <v>240</v>
      </c>
      <c r="L140" s="629" t="s">
        <v>112</v>
      </c>
      <c r="M140" s="629" t="s">
        <v>112</v>
      </c>
      <c r="N140" s="1150" t="s">
        <v>112</v>
      </c>
      <c r="O140" s="1150" t="s">
        <v>112</v>
      </c>
      <c r="P140" s="1150" t="s">
        <v>112</v>
      </c>
      <c r="Q140" s="1060">
        <f t="shared" ref="Q140" si="345">SUM(J140:P140)</f>
        <v>240</v>
      </c>
      <c r="R140" s="323">
        <f t="shared" ref="R140" si="346">2*Q140</f>
        <v>480</v>
      </c>
      <c r="S140" s="643">
        <f t="shared" ref="S140" si="347">R140+(2*71)</f>
        <v>622</v>
      </c>
      <c r="T140" s="644">
        <v>10</v>
      </c>
      <c r="U140" s="612">
        <v>0</v>
      </c>
      <c r="V140" s="773" t="s">
        <v>112</v>
      </c>
      <c r="W140" s="773" t="s">
        <v>112</v>
      </c>
      <c r="X140" s="612">
        <f t="shared" ref="X140:X142" si="348">SUM(T140:W140)</f>
        <v>10</v>
      </c>
      <c r="Y140" s="510">
        <f t="shared" ref="Y140:Y141" si="349">2*X140</f>
        <v>20</v>
      </c>
      <c r="Z140" s="511">
        <f t="shared" ref="Z140:Z141" si="350">Y140+(23)</f>
        <v>43</v>
      </c>
      <c r="AA140" s="612">
        <f t="shared" ref="AA140:AA141" si="351">Z140-H140</f>
        <v>-25.08</v>
      </c>
      <c r="AB140" s="618">
        <f t="shared" ref="AB140:AB141" si="352">Z140-I140</f>
        <v>5.5559999999999974</v>
      </c>
      <c r="AC140" s="630">
        <v>0</v>
      </c>
      <c r="AD140" s="612">
        <v>0</v>
      </c>
      <c r="AE140" s="612">
        <f t="shared" ref="AE140" si="353">X140-U140+AD140</f>
        <v>10</v>
      </c>
      <c r="AF140" s="240">
        <f t="shared" ref="AF140:AF141" si="354">2*AE140</f>
        <v>20</v>
      </c>
      <c r="AG140" s="252">
        <f>AF140+(23)</f>
        <v>43</v>
      </c>
      <c r="AH140" s="618">
        <f t="shared" ref="AH140:AH142" si="355">AG140-I140</f>
        <v>5.5559999999999974</v>
      </c>
      <c r="AI140" s="1076" t="s">
        <v>348</v>
      </c>
      <c r="AJ140" s="1071">
        <v>220</v>
      </c>
      <c r="AK140" s="1089">
        <f t="shared" ref="AK140:AK142" si="356">(2*AJ140)+(2*71)+(2*45)</f>
        <v>672</v>
      </c>
      <c r="AL140" s="1089">
        <f t="shared" ref="AL140:AL142" si="357">S140-AK140</f>
        <v>-50</v>
      </c>
      <c r="AM140" s="611">
        <v>15</v>
      </c>
      <c r="AN140" s="235">
        <f t="shared" ref="AN140" si="358">(638)+(23)+AM140</f>
        <v>676</v>
      </c>
      <c r="AO140" s="236">
        <f t="shared" ref="AO140:AO142" si="359">Z140-AN140</f>
        <v>-633</v>
      </c>
      <c r="AP140" s="453"/>
      <c r="AQ140" s="278" t="s">
        <v>232</v>
      </c>
      <c r="AR140" s="695">
        <f t="shared" ref="AR140:AR142" si="360">H140</f>
        <v>68.08</v>
      </c>
      <c r="AS140" s="695">
        <f t="shared" ref="AS140:AS142" si="361">Z140</f>
        <v>43</v>
      </c>
      <c r="AT140" s="695">
        <f t="shared" ref="AT140:AT142" si="362">AN140</f>
        <v>676</v>
      </c>
      <c r="AU140" s="774">
        <f t="shared" ref="AU140:AU142" si="363">S140-G140</f>
        <v>318.40000000000003</v>
      </c>
      <c r="AV140" s="775">
        <f t="shared" ref="AV140:AV142" si="364">AL140</f>
        <v>-50</v>
      </c>
      <c r="BC140" s="987">
        <f t="shared" si="340"/>
        <v>43</v>
      </c>
      <c r="BO140" s="655">
        <v>1</v>
      </c>
    </row>
    <row r="141" spans="1:67" s="702" customFormat="1">
      <c r="A141" s="795">
        <f t="shared" ref="A141:A142" si="365">A140+1</f>
        <v>54</v>
      </c>
      <c r="B141" s="771">
        <f t="shared" si="341"/>
        <v>44</v>
      </c>
      <c r="C141" s="273" t="s">
        <v>233</v>
      </c>
      <c r="D141" s="630">
        <v>173</v>
      </c>
      <c r="E141" s="1150">
        <f t="shared" ref="E141" si="366">(2*D141)</f>
        <v>346</v>
      </c>
      <c r="F141" s="1093">
        <f>(2*254)</f>
        <v>508</v>
      </c>
      <c r="G141" s="629">
        <f t="shared" ref="G141" si="367">F141*1.15</f>
        <v>584.19999999999993</v>
      </c>
      <c r="H141" s="236">
        <f t="shared" ref="H141" si="368">(E141*0.23)</f>
        <v>79.58</v>
      </c>
      <c r="I141" s="231">
        <f t="shared" ref="I141" si="369">0.5*(H141*1.1)</f>
        <v>43.769000000000005</v>
      </c>
      <c r="J141" s="1150" t="s">
        <v>112</v>
      </c>
      <c r="K141" s="875">
        <v>240</v>
      </c>
      <c r="L141" s="875">
        <v>15</v>
      </c>
      <c r="M141" s="629">
        <f>125-102</f>
        <v>23</v>
      </c>
      <c r="N141" s="1150" t="s">
        <v>112</v>
      </c>
      <c r="O141" s="1150" t="s">
        <v>112</v>
      </c>
      <c r="P141" s="1150" t="s">
        <v>112</v>
      </c>
      <c r="Q141" s="1060">
        <f t="shared" ref="Q141" si="370">SUM(J141:P141)</f>
        <v>278</v>
      </c>
      <c r="R141" s="323">
        <f t="shared" ref="R141" si="371">2*Q141</f>
        <v>556</v>
      </c>
      <c r="S141" s="643">
        <f t="shared" ref="S141" si="372">R141+(2*71)</f>
        <v>698</v>
      </c>
      <c r="T141" s="644">
        <v>10</v>
      </c>
      <c r="U141" s="612">
        <v>40</v>
      </c>
      <c r="V141" s="773" t="s">
        <v>112</v>
      </c>
      <c r="W141" s="773" t="s">
        <v>112</v>
      </c>
      <c r="X141" s="612">
        <f t="shared" ref="X141" si="373">SUM(T141:W141)</f>
        <v>50</v>
      </c>
      <c r="Y141" s="510">
        <f t="shared" si="349"/>
        <v>100</v>
      </c>
      <c r="Z141" s="511">
        <f t="shared" si="350"/>
        <v>123</v>
      </c>
      <c r="AA141" s="612">
        <f t="shared" si="351"/>
        <v>43.42</v>
      </c>
      <c r="AB141" s="618">
        <f t="shared" si="352"/>
        <v>79.230999999999995</v>
      </c>
      <c r="AC141" s="630">
        <v>28</v>
      </c>
      <c r="AD141" s="612">
        <f>(33.89)+(AC141*0.2095)</f>
        <v>39.756</v>
      </c>
      <c r="AE141" s="612">
        <f t="shared" ref="AE141" si="374">X141-U141+AD141</f>
        <v>49.756</v>
      </c>
      <c r="AF141" s="240">
        <f t="shared" si="354"/>
        <v>99.512</v>
      </c>
      <c r="AG141" s="252">
        <f>AF141+(2*23)</f>
        <v>145.512</v>
      </c>
      <c r="AH141" s="618">
        <f t="shared" ref="AH141" si="375">AG141-I141</f>
        <v>101.74299999999999</v>
      </c>
      <c r="AI141" s="1076" t="s">
        <v>348</v>
      </c>
      <c r="AJ141" s="1071">
        <v>220</v>
      </c>
      <c r="AK141" s="1089">
        <f t="shared" si="356"/>
        <v>672</v>
      </c>
      <c r="AL141" s="1089">
        <f t="shared" si="357"/>
        <v>26</v>
      </c>
      <c r="AM141" s="666" t="s">
        <v>113</v>
      </c>
      <c r="AN141" s="235">
        <f>(638)+(23)</f>
        <v>661</v>
      </c>
      <c r="AO141" s="236">
        <f t="shared" si="359"/>
        <v>-538</v>
      </c>
      <c r="AP141" s="453"/>
      <c r="AQ141" s="273" t="s">
        <v>270</v>
      </c>
      <c r="AR141" s="695">
        <f t="shared" ref="AR141" si="376">H141</f>
        <v>79.58</v>
      </c>
      <c r="AS141" s="695">
        <f t="shared" ref="AS141" si="377">Z141</f>
        <v>123</v>
      </c>
      <c r="AT141" s="695">
        <f t="shared" ref="AT141" si="378">AN141</f>
        <v>661</v>
      </c>
      <c r="AU141" s="774">
        <f t="shared" ref="AU141" si="379">S141-G141</f>
        <v>113.80000000000007</v>
      </c>
      <c r="AV141" s="775">
        <f t="shared" ref="AV141" si="380">AL141</f>
        <v>26</v>
      </c>
      <c r="BC141" s="987">
        <f t="shared" si="340"/>
        <v>44</v>
      </c>
      <c r="BO141" s="702">
        <v>1</v>
      </c>
    </row>
    <row r="142" spans="1:67" s="655" customFormat="1">
      <c r="A142" s="795">
        <f t="shared" si="365"/>
        <v>55</v>
      </c>
      <c r="B142" s="771">
        <f t="shared" si="341"/>
        <v>45</v>
      </c>
      <c r="C142" s="278" t="s">
        <v>267</v>
      </c>
      <c r="D142" s="630">
        <v>154</v>
      </c>
      <c r="E142" s="1150">
        <f t="shared" si="342"/>
        <v>308</v>
      </c>
      <c r="F142" s="1093">
        <f>2*145</f>
        <v>290</v>
      </c>
      <c r="G142" s="629">
        <f t="shared" si="343"/>
        <v>333.5</v>
      </c>
      <c r="H142" s="236">
        <f>(E142*0.23)</f>
        <v>70.84</v>
      </c>
      <c r="I142" s="231">
        <f t="shared" si="344"/>
        <v>38.962000000000003</v>
      </c>
      <c r="J142" s="1150" t="s">
        <v>112</v>
      </c>
      <c r="K142" s="875">
        <v>240</v>
      </c>
      <c r="L142" s="629">
        <v>15</v>
      </c>
      <c r="M142" s="629">
        <f>102-70</f>
        <v>32</v>
      </c>
      <c r="N142" s="1150" t="s">
        <v>112</v>
      </c>
      <c r="O142" s="1150" t="s">
        <v>112</v>
      </c>
      <c r="P142" s="1150" t="s">
        <v>112</v>
      </c>
      <c r="Q142" s="1060">
        <f t="shared" ref="Q142" si="381">SUM(J142:P142)</f>
        <v>287</v>
      </c>
      <c r="R142" s="323">
        <f t="shared" ref="R142" si="382">2*Q142</f>
        <v>574</v>
      </c>
      <c r="S142" s="643">
        <f t="shared" ref="S142" si="383">R142+(2*71)</f>
        <v>716</v>
      </c>
      <c r="T142" s="644">
        <v>10</v>
      </c>
      <c r="U142" s="612">
        <v>58</v>
      </c>
      <c r="V142" s="773" t="s">
        <v>112</v>
      </c>
      <c r="W142" s="773" t="s">
        <v>112</v>
      </c>
      <c r="X142" s="612">
        <f t="shared" si="348"/>
        <v>68</v>
      </c>
      <c r="Y142" s="510">
        <f t="shared" ref="Y142" si="384">2*X142</f>
        <v>136</v>
      </c>
      <c r="Z142" s="511">
        <f t="shared" ref="Z142" si="385">Y142+(23)</f>
        <v>159</v>
      </c>
      <c r="AA142" s="612">
        <f t="shared" ref="AA142" si="386">Z142-H142</f>
        <v>88.16</v>
      </c>
      <c r="AB142" s="618">
        <f t="shared" ref="AB142" si="387">Z142-I142</f>
        <v>120.038</v>
      </c>
      <c r="AC142" s="630">
        <v>93</v>
      </c>
      <c r="AD142" s="612">
        <v>58</v>
      </c>
      <c r="AE142" s="612">
        <f t="shared" ref="AE142" si="388">X142-U142+AD142</f>
        <v>68</v>
      </c>
      <c r="AF142" s="240">
        <f t="shared" ref="AF142" si="389">2*AE142</f>
        <v>136</v>
      </c>
      <c r="AG142" s="252">
        <f>AF142+(23)</f>
        <v>159</v>
      </c>
      <c r="AH142" s="618">
        <f t="shared" si="355"/>
        <v>120.038</v>
      </c>
      <c r="AI142" s="617" t="s">
        <v>1150</v>
      </c>
      <c r="AJ142" s="1088">
        <v>300</v>
      </c>
      <c r="AK142" s="1089">
        <f t="shared" si="356"/>
        <v>832</v>
      </c>
      <c r="AL142" s="1075">
        <f t="shared" si="357"/>
        <v>-116</v>
      </c>
      <c r="AM142" s="611">
        <v>15</v>
      </c>
      <c r="AN142" s="235">
        <f>308+(23)+AM142</f>
        <v>346</v>
      </c>
      <c r="AO142" s="236">
        <f t="shared" si="359"/>
        <v>-187</v>
      </c>
      <c r="AP142" s="453"/>
      <c r="AQ142" s="278" t="s">
        <v>266</v>
      </c>
      <c r="AR142" s="695">
        <f t="shared" si="360"/>
        <v>70.84</v>
      </c>
      <c r="AS142" s="695">
        <f t="shared" si="361"/>
        <v>159</v>
      </c>
      <c r="AT142" s="695">
        <f t="shared" si="362"/>
        <v>346</v>
      </c>
      <c r="AU142" s="774">
        <f t="shared" si="363"/>
        <v>382.5</v>
      </c>
      <c r="AV142" s="775">
        <f t="shared" si="364"/>
        <v>-116</v>
      </c>
      <c r="BC142" s="987">
        <f t="shared" si="340"/>
        <v>45</v>
      </c>
      <c r="BL142" s="655">
        <v>1</v>
      </c>
    </row>
    <row r="143" spans="1:67" ht="326" customHeight="1">
      <c r="A143" s="799"/>
      <c r="C143" s="1042" t="s">
        <v>927</v>
      </c>
      <c r="D143" s="1446" t="s">
        <v>928</v>
      </c>
      <c r="E143" s="1399"/>
      <c r="F143" s="872" t="s">
        <v>872</v>
      </c>
      <c r="G143" s="1099" t="s">
        <v>873</v>
      </c>
      <c r="H143" s="1046" t="s">
        <v>190</v>
      </c>
      <c r="I143" s="90"/>
      <c r="J143" s="677"/>
      <c r="K143" s="866" t="s">
        <v>226</v>
      </c>
      <c r="L143" s="866" t="s">
        <v>922</v>
      </c>
      <c r="M143" s="866" t="s">
        <v>762</v>
      </c>
      <c r="N143" s="122"/>
      <c r="O143" s="57"/>
      <c r="P143" s="57"/>
      <c r="Q143" s="57"/>
      <c r="R143" s="125"/>
      <c r="S143" s="1230" t="s">
        <v>1163</v>
      </c>
      <c r="T143" s="867" t="s">
        <v>934</v>
      </c>
      <c r="U143" s="1044" t="s">
        <v>227</v>
      </c>
      <c r="V143" s="587"/>
      <c r="W143" s="40"/>
      <c r="X143" s="40"/>
      <c r="Y143" s="97"/>
      <c r="Z143" s="1067" t="s">
        <v>1170</v>
      </c>
      <c r="AA143" s="143"/>
      <c r="AB143" s="1036" t="s">
        <v>220</v>
      </c>
      <c r="AC143" s="589" t="s">
        <v>925</v>
      </c>
      <c r="AD143" s="733" t="s">
        <v>127</v>
      </c>
      <c r="AE143" s="868" t="s">
        <v>935</v>
      </c>
      <c r="AF143" s="349"/>
      <c r="AG143" s="1067" t="s">
        <v>1170</v>
      </c>
      <c r="AH143" s="363"/>
      <c r="AI143" s="1077"/>
      <c r="AJ143" s="1078" t="s">
        <v>1153</v>
      </c>
      <c r="AK143" s="1090" t="s">
        <v>2</v>
      </c>
      <c r="AL143" s="1113"/>
      <c r="AM143" s="753"/>
      <c r="AN143" s="752" t="s">
        <v>937</v>
      </c>
      <c r="AO143" s="61"/>
      <c r="AQ143" s="707" t="s">
        <v>323</v>
      </c>
      <c r="AR143" s="34"/>
      <c r="AS143" s="27"/>
    </row>
    <row r="144" spans="1:67">
      <c r="A144" s="799"/>
      <c r="C144" s="3"/>
      <c r="D144" s="3"/>
      <c r="E144" s="44"/>
      <c r="F144" s="45"/>
      <c r="G144" s="44"/>
      <c r="H144" s="49"/>
      <c r="I144" s="65"/>
      <c r="J144" s="182"/>
      <c r="K144" s="126"/>
      <c r="L144" s="65"/>
      <c r="M144" s="65"/>
      <c r="N144" s="65"/>
      <c r="O144" s="65"/>
      <c r="P144" s="65"/>
      <c r="Q144" s="65"/>
      <c r="R144" s="127"/>
      <c r="S144" s="49"/>
      <c r="T144" s="49"/>
      <c r="U144" s="49"/>
      <c r="V144" s="49"/>
      <c r="W144" s="131"/>
      <c r="X144" s="49"/>
      <c r="Y144" s="36"/>
      <c r="Z144" s="36"/>
      <c r="AA144" s="50"/>
      <c r="AB144" s="81"/>
      <c r="AC144" s="131"/>
      <c r="AD144" s="131"/>
      <c r="AE144" s="131"/>
      <c r="AF144" s="28"/>
      <c r="AG144" s="28"/>
      <c r="AH144" s="137"/>
      <c r="AI144" s="137"/>
      <c r="AJ144" s="59"/>
      <c r="AK144" s="42"/>
      <c r="AL144" s="64"/>
      <c r="AM144" s="64"/>
      <c r="AN144" s="131"/>
      <c r="AO144" s="49"/>
      <c r="AV144" s="1278" t="s">
        <v>82</v>
      </c>
    </row>
    <row r="145" spans="1:67">
      <c r="A145" s="799"/>
      <c r="C145" s="3"/>
      <c r="D145" s="3"/>
      <c r="E145" s="44"/>
      <c r="F145" s="45"/>
      <c r="G145" s="44"/>
      <c r="H145" s="657"/>
      <c r="I145" s="65"/>
      <c r="J145" s="182"/>
      <c r="K145" s="126"/>
      <c r="L145" s="65"/>
      <c r="M145" s="65"/>
      <c r="N145" s="65"/>
      <c r="O145" s="65"/>
      <c r="P145" s="65"/>
      <c r="Q145" s="65"/>
      <c r="R145" s="127"/>
      <c r="S145" s="657"/>
      <c r="T145" s="657"/>
      <c r="U145" s="657"/>
      <c r="V145" s="657"/>
      <c r="W145" s="656"/>
      <c r="X145" s="657"/>
      <c r="Y145" s="36"/>
      <c r="Z145" s="36"/>
      <c r="AA145" s="50"/>
      <c r="AB145" s="81"/>
      <c r="AC145" s="656"/>
      <c r="AD145" s="656"/>
      <c r="AE145" s="656"/>
      <c r="AF145" s="28"/>
      <c r="AG145" s="28"/>
      <c r="AH145" s="137"/>
      <c r="AI145" s="137"/>
      <c r="AJ145" s="59"/>
      <c r="AK145" s="42"/>
      <c r="AL145" s="64"/>
      <c r="AM145" s="64"/>
      <c r="AN145" s="656"/>
      <c r="AO145" s="657"/>
    </row>
    <row r="146" spans="1:67">
      <c r="A146" s="799"/>
      <c r="B146" s="354" t="s">
        <v>301</v>
      </c>
      <c r="C146" s="1421" t="s">
        <v>503</v>
      </c>
      <c r="D146" s="1422"/>
      <c r="E146" s="1422"/>
      <c r="F146" s="1422"/>
      <c r="G146" s="1422"/>
      <c r="H146" s="1422"/>
      <c r="I146" s="1422"/>
      <c r="J146" s="1422"/>
      <c r="K146" s="1422"/>
      <c r="L146" s="1422"/>
      <c r="M146" s="1422"/>
      <c r="N146" s="1422"/>
      <c r="O146" s="1422"/>
      <c r="P146" s="1422"/>
      <c r="Q146" s="1422"/>
      <c r="R146" s="1422"/>
      <c r="S146" s="1422"/>
      <c r="T146" s="1423"/>
      <c r="U146" s="1423"/>
      <c r="V146" s="1423"/>
      <c r="W146" s="1423"/>
      <c r="X146" s="1423"/>
      <c r="Y146" s="1423"/>
      <c r="Z146" s="1423"/>
      <c r="AA146" s="1423"/>
      <c r="AB146" s="1423"/>
      <c r="AC146" s="1423"/>
      <c r="AD146" s="1423"/>
      <c r="AE146" s="1423"/>
      <c r="AF146" s="1423"/>
      <c r="AG146" s="1423"/>
      <c r="AH146" s="1423"/>
      <c r="AI146" s="1423"/>
      <c r="AJ146" s="1423"/>
      <c r="AK146" s="42"/>
      <c r="AL146" s="36"/>
      <c r="AM146" s="36"/>
      <c r="AN146" s="61"/>
      <c r="AO146" s="657"/>
    </row>
    <row r="147" spans="1:67" s="1122" customFormat="1" ht="44">
      <c r="A147" s="1115"/>
      <c r="B147" s="1116"/>
      <c r="C147" s="1117" t="s">
        <v>116</v>
      </c>
      <c r="D147" s="1424" t="s">
        <v>39</v>
      </c>
      <c r="E147" s="1425"/>
      <c r="F147" s="1425"/>
      <c r="G147" s="1425"/>
      <c r="H147" s="1425"/>
      <c r="I147" s="1426"/>
      <c r="J147" s="1439" t="s">
        <v>106</v>
      </c>
      <c r="K147" s="1442"/>
      <c r="L147" s="1442"/>
      <c r="M147" s="1442"/>
      <c r="N147" s="1442"/>
      <c r="O147" s="1442"/>
      <c r="P147" s="1442"/>
      <c r="Q147" s="1442"/>
      <c r="R147" s="1439" t="s">
        <v>22</v>
      </c>
      <c r="S147" s="1440"/>
      <c r="T147" s="1409" t="s">
        <v>136</v>
      </c>
      <c r="U147" s="1410"/>
      <c r="V147" s="1410"/>
      <c r="W147" s="1410"/>
      <c r="X147" s="1410"/>
      <c r="Y147" s="1411" t="s">
        <v>126</v>
      </c>
      <c r="Z147" s="1412"/>
      <c r="AA147" s="1141"/>
      <c r="AB147" s="1142"/>
      <c r="AC147" s="1413" t="s">
        <v>101</v>
      </c>
      <c r="AD147" s="1414"/>
      <c r="AE147" s="1414"/>
      <c r="AF147" s="1415" t="s">
        <v>23</v>
      </c>
      <c r="AG147" s="1416"/>
      <c r="AH147" s="1143"/>
      <c r="AI147" s="1454" t="s">
        <v>25</v>
      </c>
      <c r="AJ147" s="1435"/>
      <c r="AK147" s="1435"/>
      <c r="AL147" s="1435"/>
      <c r="AM147" s="1435"/>
      <c r="AN147" s="1436"/>
      <c r="AO147" s="1155"/>
      <c r="AP147" s="1121"/>
      <c r="AV147" s="1317" t="s">
        <v>82</v>
      </c>
      <c r="BC147" s="1123"/>
    </row>
    <row r="148" spans="1:67">
      <c r="A148" s="799"/>
      <c r="C148" s="507"/>
      <c r="D148" s="86">
        <v>1</v>
      </c>
      <c r="E148" s="38">
        <f>D148+1</f>
        <v>2</v>
      </c>
      <c r="F148" s="574">
        <f>E148+1</f>
        <v>3</v>
      </c>
      <c r="G148" s="38">
        <f>F148+1</f>
        <v>4</v>
      </c>
      <c r="H148" s="38">
        <f>G148+1</f>
        <v>5</v>
      </c>
      <c r="I148" s="87">
        <f t="shared" ref="I148" si="390">H148+1</f>
        <v>6</v>
      </c>
      <c r="J148" s="86">
        <f t="shared" ref="J148" si="391">I148+1</f>
        <v>7</v>
      </c>
      <c r="K148" s="117">
        <f>J148+1</f>
        <v>8</v>
      </c>
      <c r="L148" s="38">
        <f>K148+1</f>
        <v>9</v>
      </c>
      <c r="M148" s="38">
        <f t="shared" ref="M148" si="392">L148+1</f>
        <v>10</v>
      </c>
      <c r="N148" s="38">
        <f t="shared" ref="N148" si="393">M148+1</f>
        <v>11</v>
      </c>
      <c r="O148" s="38">
        <f t="shared" ref="O148" si="394">N148+1</f>
        <v>12</v>
      </c>
      <c r="P148" s="38">
        <f t="shared" ref="P148" si="395">O148+1</f>
        <v>13</v>
      </c>
      <c r="Q148" s="38">
        <f t="shared" ref="Q148" si="396">P148+1</f>
        <v>14</v>
      </c>
      <c r="R148" s="358">
        <f>Q148+1</f>
        <v>15</v>
      </c>
      <c r="S148" s="359">
        <f t="shared" ref="S148" si="397">R148+1</f>
        <v>16</v>
      </c>
      <c r="T148" s="86">
        <f t="shared" ref="T148" si="398">S148+1</f>
        <v>17</v>
      </c>
      <c r="U148" s="38">
        <f t="shared" ref="U148" si="399">T148+1</f>
        <v>18</v>
      </c>
      <c r="V148" s="38">
        <f t="shared" ref="V148" si="400">U148+1</f>
        <v>19</v>
      </c>
      <c r="W148" s="38">
        <f t="shared" ref="W148" si="401">V148+1</f>
        <v>20</v>
      </c>
      <c r="X148" s="38">
        <f>W148+1</f>
        <v>21</v>
      </c>
      <c r="Y148" s="358">
        <f>X148+1</f>
        <v>22</v>
      </c>
      <c r="Z148" s="359">
        <f t="shared" ref="Z148" si="402">Y148+1</f>
        <v>23</v>
      </c>
      <c r="AA148" s="86">
        <f t="shared" ref="AA148" si="403">Z148+1</f>
        <v>24</v>
      </c>
      <c r="AB148" s="87">
        <f t="shared" ref="AB148" si="404">AA148+1</f>
        <v>25</v>
      </c>
      <c r="AC148" s="358">
        <f t="shared" ref="AC148" si="405">AB148+1</f>
        <v>26</v>
      </c>
      <c r="AD148" s="117">
        <f t="shared" ref="AD148" si="406">AC148+1</f>
        <v>27</v>
      </c>
      <c r="AE148" s="117">
        <f t="shared" ref="AE148" si="407">AD148+1</f>
        <v>28</v>
      </c>
      <c r="AF148" s="358">
        <f>AE148+1</f>
        <v>29</v>
      </c>
      <c r="AG148" s="359">
        <f t="shared" ref="AG148" si="408">AF148+1</f>
        <v>30</v>
      </c>
      <c r="AH148" s="359">
        <f t="shared" ref="AH148" si="409">AG148+1</f>
        <v>31</v>
      </c>
      <c r="AI148" s="364">
        <f>AH148+1</f>
        <v>32</v>
      </c>
      <c r="AJ148" s="38">
        <f>AI148+1</f>
        <v>33</v>
      </c>
      <c r="AK148" s="38">
        <f t="shared" ref="AK148" si="410">AJ148+1</f>
        <v>34</v>
      </c>
      <c r="AL148" s="38">
        <f t="shared" ref="AL148" si="411">AK148+1</f>
        <v>35</v>
      </c>
      <c r="AM148" s="38">
        <f t="shared" ref="AM148" si="412">AL148+1</f>
        <v>36</v>
      </c>
      <c r="AN148" s="359">
        <f>AM148+1</f>
        <v>37</v>
      </c>
      <c r="AO148" s="38">
        <f>AN148+1</f>
        <v>38</v>
      </c>
    </row>
    <row r="149" spans="1:67" ht="123.5" customHeight="1">
      <c r="A149" s="799"/>
      <c r="B149" s="124"/>
      <c r="C149" s="1068" t="s">
        <v>939</v>
      </c>
      <c r="D149" s="1026" t="s">
        <v>605</v>
      </c>
      <c r="E149" s="1025" t="s">
        <v>606</v>
      </c>
      <c r="F149" s="1025" t="s">
        <v>506</v>
      </c>
      <c r="G149" s="1025" t="s">
        <v>408</v>
      </c>
      <c r="H149" s="418" t="s">
        <v>409</v>
      </c>
      <c r="I149" s="820" t="s">
        <v>507</v>
      </c>
      <c r="J149" s="1026" t="s">
        <v>607</v>
      </c>
      <c r="K149" s="1025" t="s">
        <v>943</v>
      </c>
      <c r="L149" s="1025" t="s">
        <v>942</v>
      </c>
      <c r="M149" s="1025" t="s">
        <v>616</v>
      </c>
      <c r="N149" s="1025" t="s">
        <v>617</v>
      </c>
      <c r="O149" s="1025" t="s">
        <v>618</v>
      </c>
      <c r="P149" s="1025" t="s">
        <v>610</v>
      </c>
      <c r="Q149" s="1027" t="s">
        <v>418</v>
      </c>
      <c r="R149" s="488" t="s">
        <v>514</v>
      </c>
      <c r="S149" s="322" t="s">
        <v>448</v>
      </c>
      <c r="T149" s="819" t="s">
        <v>611</v>
      </c>
      <c r="U149" s="819" t="s">
        <v>619</v>
      </c>
      <c r="V149" s="819" t="s">
        <v>620</v>
      </c>
      <c r="W149" s="819" t="s">
        <v>621</v>
      </c>
      <c r="X149" s="1101" t="s">
        <v>614</v>
      </c>
      <c r="Y149" s="175" t="s">
        <v>425</v>
      </c>
      <c r="Z149" s="985" t="s">
        <v>520</v>
      </c>
      <c r="AA149" s="1030" t="s">
        <v>427</v>
      </c>
      <c r="AB149" s="819" t="s">
        <v>428</v>
      </c>
      <c r="AC149" s="1026" t="s">
        <v>429</v>
      </c>
      <c r="AD149" s="819" t="s">
        <v>541</v>
      </c>
      <c r="AE149" s="819" t="s">
        <v>529</v>
      </c>
      <c r="AF149" s="154" t="s">
        <v>615</v>
      </c>
      <c r="AG149" s="568" t="s">
        <v>570</v>
      </c>
      <c r="AH149" s="1156" t="s">
        <v>434</v>
      </c>
      <c r="AI149" s="1025" t="s">
        <v>346</v>
      </c>
      <c r="AJ149" s="1032" t="s">
        <v>435</v>
      </c>
      <c r="AK149" s="1111" t="s">
        <v>0</v>
      </c>
      <c r="AL149" s="1024" t="s">
        <v>26</v>
      </c>
      <c r="AM149" s="819" t="s">
        <v>402</v>
      </c>
      <c r="AN149" s="820" t="s">
        <v>343</v>
      </c>
      <c r="AO149" s="249" t="s">
        <v>436</v>
      </c>
      <c r="AQ149" s="1091" t="s">
        <v>949</v>
      </c>
      <c r="AR149" s="418" t="s">
        <v>438</v>
      </c>
      <c r="AS149" s="418" t="s">
        <v>439</v>
      </c>
      <c r="AT149" s="361" t="s">
        <v>440</v>
      </c>
      <c r="AU149" s="861" t="s">
        <v>403</v>
      </c>
      <c r="AV149" s="861" t="s">
        <v>746</v>
      </c>
      <c r="BC149" s="978" t="s">
        <v>779</v>
      </c>
    </row>
    <row r="150" spans="1:67" ht="15" customHeight="1">
      <c r="A150" s="799">
        <f>A142+1</f>
        <v>56</v>
      </c>
      <c r="B150" s="769">
        <f>B142+1</f>
        <v>46</v>
      </c>
      <c r="C150" s="273" t="s">
        <v>230</v>
      </c>
      <c r="D150" s="630">
        <v>202</v>
      </c>
      <c r="E150" s="629">
        <f t="shared" ref="E150" si="413">(2*D150)</f>
        <v>404</v>
      </c>
      <c r="F150" s="877">
        <f>(2*187)</f>
        <v>374</v>
      </c>
      <c r="G150" s="629">
        <f t="shared" ref="G150" si="414">F150*1.15</f>
        <v>430.09999999999997</v>
      </c>
      <c r="H150" s="236">
        <f t="shared" ref="H150" si="415">(E150*0.23)</f>
        <v>92.92</v>
      </c>
      <c r="I150" s="235">
        <f t="shared" ref="I150" si="416">0.5*(H150*1.1)</f>
        <v>51.106000000000002</v>
      </c>
      <c r="J150" s="629" t="s">
        <v>112</v>
      </c>
      <c r="K150" s="875">
        <v>240</v>
      </c>
      <c r="L150" s="875">
        <v>15</v>
      </c>
      <c r="M150" s="629">
        <f>147-102</f>
        <v>45</v>
      </c>
      <c r="N150" s="629" t="s">
        <v>112</v>
      </c>
      <c r="O150" s="629" t="s">
        <v>112</v>
      </c>
      <c r="P150" s="629" t="s">
        <v>112</v>
      </c>
      <c r="Q150" s="875">
        <f t="shared" ref="Q150" si="417">SUM(J150:P150)</f>
        <v>300</v>
      </c>
      <c r="R150" s="323">
        <f t="shared" ref="R150" si="418">2*Q150</f>
        <v>600</v>
      </c>
      <c r="S150" s="643">
        <f t="shared" ref="S150" si="419">R150+(2*71)</f>
        <v>742</v>
      </c>
      <c r="T150" s="644">
        <v>10</v>
      </c>
      <c r="U150" s="612">
        <v>48</v>
      </c>
      <c r="V150" s="773" t="s">
        <v>112</v>
      </c>
      <c r="W150" s="773" t="s">
        <v>112</v>
      </c>
      <c r="X150" s="612">
        <f t="shared" ref="X150" si="420">SUM(T150:W150)</f>
        <v>58</v>
      </c>
      <c r="Y150" s="510">
        <f t="shared" ref="Y150" si="421">2*X150</f>
        <v>116</v>
      </c>
      <c r="Z150" s="986">
        <f t="shared" ref="Z150" si="422">Y150+(23)</f>
        <v>139</v>
      </c>
      <c r="AA150" s="625">
        <f t="shared" ref="AA150" si="423">Z150-H150</f>
        <v>46.08</v>
      </c>
      <c r="AB150" s="618">
        <f t="shared" ref="AB150" si="424">Z150-I150</f>
        <v>87.894000000000005</v>
      </c>
      <c r="AC150" s="630">
        <f>294-261</f>
        <v>33</v>
      </c>
      <c r="AD150" s="612">
        <f>(33.89)+(AC150*0.2095)</f>
        <v>40.8035</v>
      </c>
      <c r="AE150" s="612">
        <f t="shared" ref="AE150" si="425">X150-U150+AD150</f>
        <v>50.8035</v>
      </c>
      <c r="AF150" s="240">
        <f t="shared" ref="AF150" si="426">2*AE150</f>
        <v>101.607</v>
      </c>
      <c r="AG150" s="252">
        <f>AF150+(2*23)</f>
        <v>147.607</v>
      </c>
      <c r="AH150" s="618">
        <f t="shared" ref="AH150" si="427">AG150-I150</f>
        <v>96.501000000000005</v>
      </c>
      <c r="AI150" s="1076" t="s">
        <v>348</v>
      </c>
      <c r="AJ150" s="877">
        <v>220</v>
      </c>
      <c r="AK150" s="1150">
        <f t="shared" ref="AK150" si="428">(2*AJ150)+(2*71)+(2*45)</f>
        <v>672</v>
      </c>
      <c r="AL150" s="1150">
        <f t="shared" ref="AL150" si="429">S150-AK150</f>
        <v>70</v>
      </c>
      <c r="AM150" s="611">
        <v>15</v>
      </c>
      <c r="AN150" s="235">
        <f>638+(23)+AM150</f>
        <v>676</v>
      </c>
      <c r="AO150" s="236">
        <f t="shared" ref="AO150" si="430">Z150-AN150</f>
        <v>-537</v>
      </c>
      <c r="AP150" s="453"/>
      <c r="AQ150" s="273" t="s">
        <v>319</v>
      </c>
      <c r="AR150" s="695">
        <f>H150</f>
        <v>92.92</v>
      </c>
      <c r="AS150" s="695">
        <f>Z150</f>
        <v>139</v>
      </c>
      <c r="AT150" s="695">
        <f>AN150</f>
        <v>676</v>
      </c>
      <c r="AU150" s="696">
        <f>S150-G150</f>
        <v>311.90000000000003</v>
      </c>
      <c r="AV150" s="698">
        <f>AL150</f>
        <v>70</v>
      </c>
      <c r="BC150" s="957">
        <f>B150</f>
        <v>46</v>
      </c>
      <c r="BO150">
        <v>1</v>
      </c>
    </row>
    <row r="151" spans="1:67" ht="15" customHeight="1">
      <c r="A151" s="799">
        <f>A150+1</f>
        <v>57</v>
      </c>
      <c r="B151" s="769">
        <f>B150+1</f>
        <v>47</v>
      </c>
      <c r="C151" s="273" t="s">
        <v>268</v>
      </c>
      <c r="D151" s="630">
        <v>120</v>
      </c>
      <c r="E151" s="629">
        <f>(2*D151)</f>
        <v>240</v>
      </c>
      <c r="F151" s="877">
        <f>2*107</f>
        <v>214</v>
      </c>
      <c r="G151" s="629">
        <f>F151*1.15</f>
        <v>246.1</v>
      </c>
      <c r="H151" s="236">
        <f>(E151*0.23)</f>
        <v>55.2</v>
      </c>
      <c r="I151" s="235">
        <f>0.5*(H151*1.1)</f>
        <v>30.360000000000003</v>
      </c>
      <c r="J151" s="629" t="s">
        <v>112</v>
      </c>
      <c r="K151" s="875">
        <v>240</v>
      </c>
      <c r="L151" s="875">
        <v>15</v>
      </c>
      <c r="M151" s="629">
        <f>102-44</f>
        <v>58</v>
      </c>
      <c r="N151" s="629" t="s">
        <v>112</v>
      </c>
      <c r="O151" s="629" t="s">
        <v>112</v>
      </c>
      <c r="P151" s="629" t="s">
        <v>112</v>
      </c>
      <c r="Q151" s="875">
        <f>SUM(J151:P151)</f>
        <v>313</v>
      </c>
      <c r="R151" s="323">
        <f>2*Q151</f>
        <v>626</v>
      </c>
      <c r="S151" s="643">
        <f>R151+(2*71)</f>
        <v>768</v>
      </c>
      <c r="T151" s="644">
        <v>10</v>
      </c>
      <c r="U151" s="612">
        <v>62</v>
      </c>
      <c r="V151" s="773" t="s">
        <v>112</v>
      </c>
      <c r="W151" s="773" t="s">
        <v>112</v>
      </c>
      <c r="X151" s="612">
        <f>SUM(T151:W151)</f>
        <v>72</v>
      </c>
      <c r="Y151" s="510">
        <f>2*X151</f>
        <v>144</v>
      </c>
      <c r="Z151" s="986">
        <f>Y151+(23)</f>
        <v>167</v>
      </c>
      <c r="AA151" s="625">
        <f>Z151-H151</f>
        <v>111.8</v>
      </c>
      <c r="AB151" s="612">
        <f>Z151-I151</f>
        <v>136.63999999999999</v>
      </c>
      <c r="AC151" s="874">
        <v>162</v>
      </c>
      <c r="AD151" s="612">
        <f>(33.89)+(AC151*0.2095)</f>
        <v>67.829000000000008</v>
      </c>
      <c r="AE151" s="612">
        <f>X151-U151+AD151</f>
        <v>77.829000000000008</v>
      </c>
      <c r="AF151" s="240">
        <f>2*AE151</f>
        <v>155.65800000000002</v>
      </c>
      <c r="AG151" s="252">
        <f>AF151+(2*23)</f>
        <v>201.65800000000002</v>
      </c>
      <c r="AH151" s="618">
        <f>AG151-I151</f>
        <v>171.298</v>
      </c>
      <c r="AI151" s="1076" t="s">
        <v>936</v>
      </c>
      <c r="AJ151" s="875">
        <v>300</v>
      </c>
      <c r="AK151" s="1150">
        <f>(2*AJ151)+(2*71)+(2*45)</f>
        <v>832</v>
      </c>
      <c r="AL151" s="1150">
        <f>S151-AK151</f>
        <v>-64</v>
      </c>
      <c r="AM151" s="611" t="s">
        <v>113</v>
      </c>
      <c r="AN151" s="235">
        <f>308+(23)</f>
        <v>331</v>
      </c>
      <c r="AO151" s="236">
        <f>Z151-AN151</f>
        <v>-164</v>
      </c>
      <c r="AP151" s="453"/>
      <c r="AQ151" s="273" t="s">
        <v>269</v>
      </c>
      <c r="AR151" s="695">
        <f>H151</f>
        <v>55.2</v>
      </c>
      <c r="AS151" s="695">
        <f>Z151</f>
        <v>167</v>
      </c>
      <c r="AT151" s="695">
        <f>AN151</f>
        <v>331</v>
      </c>
      <c r="AU151" s="696">
        <f>S151-G151</f>
        <v>521.9</v>
      </c>
      <c r="AV151" s="698">
        <f>AL151</f>
        <v>-64</v>
      </c>
      <c r="BC151" s="957">
        <f t="shared" ref="BC151:BC153" si="431">B151</f>
        <v>47</v>
      </c>
      <c r="BL151">
        <v>1</v>
      </c>
    </row>
    <row r="152" spans="1:67">
      <c r="A152" s="799">
        <f t="shared" ref="A152:A153" si="432">A151+1</f>
        <v>58</v>
      </c>
      <c r="B152" s="769">
        <f t="shared" ref="B152:B153" si="433">B151+1</f>
        <v>48</v>
      </c>
      <c r="C152" s="273" t="s">
        <v>231</v>
      </c>
      <c r="D152" s="630">
        <v>278</v>
      </c>
      <c r="E152" s="629">
        <f t="shared" ref="E152:E153" si="434">(2*D152)</f>
        <v>556</v>
      </c>
      <c r="F152" s="877">
        <f>(2*255)</f>
        <v>510</v>
      </c>
      <c r="G152" s="629">
        <f t="shared" ref="G152:G153" si="435">F152*1.15</f>
        <v>586.5</v>
      </c>
      <c r="H152" s="236">
        <f t="shared" ref="H152:H153" si="436">(E152*0.23)</f>
        <v>127.88000000000001</v>
      </c>
      <c r="I152" s="235">
        <f t="shared" ref="I152:I153" si="437">0.5*(H152*1.1)</f>
        <v>70.334000000000017</v>
      </c>
      <c r="J152" s="629" t="s">
        <v>112</v>
      </c>
      <c r="K152" s="875">
        <v>240</v>
      </c>
      <c r="L152" s="875">
        <v>15</v>
      </c>
      <c r="M152" s="629">
        <f>183-102</f>
        <v>81</v>
      </c>
      <c r="N152" s="629" t="s">
        <v>112</v>
      </c>
      <c r="O152" s="629" t="s">
        <v>112</v>
      </c>
      <c r="P152" s="629" t="s">
        <v>112</v>
      </c>
      <c r="Q152" s="875">
        <f t="shared" ref="Q152:Q153" si="438">SUM(J152:P152)</f>
        <v>336</v>
      </c>
      <c r="R152" s="323">
        <f t="shared" ref="R152:R153" si="439">2*Q152</f>
        <v>672</v>
      </c>
      <c r="S152" s="643">
        <f t="shared" ref="S152:S153" si="440">R152+(2*71)</f>
        <v>814</v>
      </c>
      <c r="T152" s="644">
        <v>10</v>
      </c>
      <c r="U152" s="612">
        <v>64</v>
      </c>
      <c r="V152" s="773" t="s">
        <v>112</v>
      </c>
      <c r="W152" s="773" t="s">
        <v>112</v>
      </c>
      <c r="X152" s="612">
        <f t="shared" ref="X152:X153" si="441">SUM(T152:W152)</f>
        <v>74</v>
      </c>
      <c r="Y152" s="510">
        <f t="shared" ref="Y152:Y153" si="442">2*X152</f>
        <v>148</v>
      </c>
      <c r="Z152" s="986">
        <f t="shared" ref="Z152:Z153" si="443">Y152+(23)</f>
        <v>171</v>
      </c>
      <c r="AA152" s="625">
        <f t="shared" ref="AA152:AA153" si="444">Z152-H152</f>
        <v>43.11999999999999</v>
      </c>
      <c r="AB152" s="618">
        <f t="shared" ref="AB152:AB153" si="445">Z152-I152</f>
        <v>100.66599999999998</v>
      </c>
      <c r="AC152" s="874">
        <v>136</v>
      </c>
      <c r="AD152" s="612">
        <f t="shared" ref="AD152:AD153" si="446">(33.89)+(AC152*0.2095)</f>
        <v>62.381999999999998</v>
      </c>
      <c r="AE152" s="612">
        <f t="shared" ref="AE152:AE153" si="447">X152-U152+AD152</f>
        <v>72.382000000000005</v>
      </c>
      <c r="AF152" s="240">
        <f t="shared" ref="AF152:AF153" si="448">2*AE152</f>
        <v>144.76400000000001</v>
      </c>
      <c r="AG152" s="252">
        <f>AF152+(2*23)</f>
        <v>190.76400000000001</v>
      </c>
      <c r="AH152" s="618">
        <f t="shared" ref="AH152:AH153" si="449">AG152-I152</f>
        <v>120.42999999999999</v>
      </c>
      <c r="AI152" s="1157" t="s">
        <v>361</v>
      </c>
      <c r="AJ152" s="875">
        <v>220</v>
      </c>
      <c r="AK152" s="1150">
        <f t="shared" ref="AK152:AK153" si="450">(2*AJ152)+(2*71)+(2*45)</f>
        <v>672</v>
      </c>
      <c r="AL152" s="1150">
        <f t="shared" ref="AL152:AL153" si="451">S152-AK152</f>
        <v>142</v>
      </c>
      <c r="AM152" s="611" t="s">
        <v>113</v>
      </c>
      <c r="AN152" s="235">
        <f>546+(2*23)</f>
        <v>592</v>
      </c>
      <c r="AO152" s="236">
        <f t="shared" ref="AO152:AO153" si="452">Z152-AN152</f>
        <v>-421</v>
      </c>
      <c r="AP152" s="453"/>
      <c r="AQ152" s="304" t="s">
        <v>761</v>
      </c>
      <c r="AR152" s="695">
        <f t="shared" ref="AR152:AR153" si="453">H152</f>
        <v>127.88000000000001</v>
      </c>
      <c r="AS152" s="695">
        <f t="shared" ref="AS152:AS153" si="454">Z152</f>
        <v>171</v>
      </c>
      <c r="AT152" s="695">
        <f t="shared" ref="AT152:AT153" si="455">AN152</f>
        <v>592</v>
      </c>
      <c r="AU152" s="696">
        <f t="shared" ref="AU152:AU153" si="456">S152-G152</f>
        <v>227.5</v>
      </c>
      <c r="AV152" s="698">
        <f t="shared" ref="AV152:AV153" si="457">AL152</f>
        <v>142</v>
      </c>
      <c r="BC152" s="957">
        <f t="shared" si="431"/>
        <v>48</v>
      </c>
      <c r="BO152">
        <v>1</v>
      </c>
    </row>
    <row r="153" spans="1:67">
      <c r="A153" s="799">
        <f t="shared" si="432"/>
        <v>59</v>
      </c>
      <c r="B153" s="769">
        <f t="shared" si="433"/>
        <v>49</v>
      </c>
      <c r="C153" s="273" t="s">
        <v>940</v>
      </c>
      <c r="D153" s="630">
        <v>86</v>
      </c>
      <c r="E153" s="877">
        <f t="shared" si="434"/>
        <v>172</v>
      </c>
      <c r="F153" s="877">
        <f>2*135</f>
        <v>270</v>
      </c>
      <c r="G153" s="629">
        <f t="shared" si="435"/>
        <v>310.5</v>
      </c>
      <c r="H153" s="236">
        <f t="shared" si="436"/>
        <v>39.56</v>
      </c>
      <c r="I153" s="235">
        <f t="shared" si="437"/>
        <v>21.758000000000003</v>
      </c>
      <c r="J153" s="629" t="s">
        <v>112</v>
      </c>
      <c r="K153" s="875">
        <v>240</v>
      </c>
      <c r="L153" s="875">
        <v>15</v>
      </c>
      <c r="M153" s="629">
        <v>102</v>
      </c>
      <c r="N153" s="629" t="s">
        <v>112</v>
      </c>
      <c r="O153" s="629" t="s">
        <v>112</v>
      </c>
      <c r="P153" s="629" t="s">
        <v>112</v>
      </c>
      <c r="Q153" s="875">
        <f t="shared" si="438"/>
        <v>357</v>
      </c>
      <c r="R153" s="323">
        <f t="shared" si="439"/>
        <v>714</v>
      </c>
      <c r="S153" s="643">
        <f t="shared" si="440"/>
        <v>856</v>
      </c>
      <c r="T153" s="644">
        <v>10</v>
      </c>
      <c r="U153" s="612">
        <v>70</v>
      </c>
      <c r="V153" s="773" t="s">
        <v>112</v>
      </c>
      <c r="W153" s="773" t="s">
        <v>112</v>
      </c>
      <c r="X153" s="612">
        <f t="shared" si="441"/>
        <v>80</v>
      </c>
      <c r="Y153" s="510">
        <f t="shared" si="442"/>
        <v>160</v>
      </c>
      <c r="Z153" s="986">
        <f t="shared" si="443"/>
        <v>183</v>
      </c>
      <c r="AA153" s="625">
        <f t="shared" si="444"/>
        <v>143.44</v>
      </c>
      <c r="AB153" s="612">
        <f t="shared" si="445"/>
        <v>161.24199999999999</v>
      </c>
      <c r="AC153" s="874">
        <f>161+49</f>
        <v>210</v>
      </c>
      <c r="AD153" s="612">
        <f t="shared" si="446"/>
        <v>77.884999999999991</v>
      </c>
      <c r="AE153" s="612">
        <f t="shared" si="447"/>
        <v>87.884999999999991</v>
      </c>
      <c r="AF153" s="240">
        <f t="shared" si="448"/>
        <v>175.76999999999998</v>
      </c>
      <c r="AG153" s="252">
        <f>AF153+(2*23)</f>
        <v>221.76999999999998</v>
      </c>
      <c r="AH153" s="618">
        <f t="shared" si="449"/>
        <v>200.01199999999997</v>
      </c>
      <c r="AI153" s="1157" t="s">
        <v>947</v>
      </c>
      <c r="AJ153" s="1060">
        <v>53</v>
      </c>
      <c r="AK153" s="1150">
        <f t="shared" si="450"/>
        <v>338</v>
      </c>
      <c r="AL153" s="1060">
        <f t="shared" si="451"/>
        <v>518</v>
      </c>
      <c r="AM153" s="611" t="s">
        <v>113</v>
      </c>
      <c r="AN153" s="235">
        <f>189+(23)</f>
        <v>212</v>
      </c>
      <c r="AO153" s="236">
        <f t="shared" si="452"/>
        <v>-29</v>
      </c>
      <c r="AP153" s="453"/>
      <c r="AQ153" s="273" t="s">
        <v>760</v>
      </c>
      <c r="AR153" s="695">
        <f t="shared" si="453"/>
        <v>39.56</v>
      </c>
      <c r="AS153" s="695">
        <f t="shared" si="454"/>
        <v>183</v>
      </c>
      <c r="AT153" s="695">
        <f t="shared" si="455"/>
        <v>212</v>
      </c>
      <c r="AU153" s="696">
        <f t="shared" si="456"/>
        <v>545.5</v>
      </c>
      <c r="AV153" s="698">
        <f t="shared" si="457"/>
        <v>518</v>
      </c>
      <c r="BC153" s="957">
        <f t="shared" si="431"/>
        <v>49</v>
      </c>
      <c r="BL153">
        <v>1</v>
      </c>
    </row>
    <row r="154" spans="1:67" ht="325" customHeight="1">
      <c r="A154" s="799"/>
      <c r="C154" s="1042" t="s">
        <v>927</v>
      </c>
      <c r="D154" s="1446" t="s">
        <v>941</v>
      </c>
      <c r="E154" s="1365"/>
      <c r="F154" s="872" t="s">
        <v>872</v>
      </c>
      <c r="G154" s="1099" t="s">
        <v>873</v>
      </c>
      <c r="H154" s="1046" t="s">
        <v>190</v>
      </c>
      <c r="I154" s="851"/>
      <c r="J154" s="1062"/>
      <c r="K154" s="866" t="s">
        <v>226</v>
      </c>
      <c r="L154" s="866" t="s">
        <v>922</v>
      </c>
      <c r="M154" s="866" t="s">
        <v>225</v>
      </c>
      <c r="N154" s="1019"/>
      <c r="O154" s="866" t="s">
        <v>259</v>
      </c>
      <c r="P154" s="1019"/>
      <c r="Q154" s="1019"/>
      <c r="R154" s="125"/>
      <c r="S154" s="1007" t="s">
        <v>1164</v>
      </c>
      <c r="T154" s="935" t="s">
        <v>944</v>
      </c>
      <c r="U154" s="1044" t="s">
        <v>227</v>
      </c>
      <c r="V154" s="587" t="s">
        <v>945</v>
      </c>
      <c r="W154" s="40"/>
      <c r="X154" s="40"/>
      <c r="Y154" s="97"/>
      <c r="Z154" s="1034" t="s">
        <v>1170</v>
      </c>
      <c r="AA154" s="370"/>
      <c r="AB154" s="1036" t="s">
        <v>220</v>
      </c>
      <c r="AC154" s="589" t="s">
        <v>925</v>
      </c>
      <c r="AD154" s="733" t="s">
        <v>127</v>
      </c>
      <c r="AE154" s="868" t="s">
        <v>946</v>
      </c>
      <c r="AF154" s="349"/>
      <c r="AG154" s="1067" t="s">
        <v>1170</v>
      </c>
      <c r="AH154" s="363"/>
      <c r="AI154" s="1062"/>
      <c r="AJ154" s="1078" t="s">
        <v>1153</v>
      </c>
      <c r="AK154" s="1098" t="s">
        <v>2</v>
      </c>
      <c r="AL154" s="1139"/>
      <c r="AM154" s="753"/>
      <c r="AN154" s="752" t="s">
        <v>937</v>
      </c>
      <c r="AO154" s="61"/>
      <c r="AQ154" s="1158" t="s">
        <v>948</v>
      </c>
      <c r="AR154" s="34"/>
      <c r="AS154" s="27"/>
    </row>
    <row r="155" spans="1:67">
      <c r="A155" s="799"/>
      <c r="C155" s="3"/>
      <c r="D155" s="3"/>
      <c r="E155" s="44"/>
      <c r="F155" s="45"/>
      <c r="G155" s="44"/>
      <c r="H155" s="657"/>
      <c r="I155" s="65"/>
      <c r="J155" s="182"/>
      <c r="K155" s="126"/>
      <c r="L155" s="65"/>
      <c r="M155" s="65"/>
      <c r="N155" s="65"/>
      <c r="O155" s="65"/>
      <c r="P155" s="65"/>
      <c r="Q155" s="65"/>
      <c r="R155" s="127"/>
      <c r="S155" s="657"/>
      <c r="T155" s="657"/>
      <c r="U155" s="657"/>
      <c r="V155" s="657"/>
      <c r="W155" s="656"/>
      <c r="X155" s="657"/>
      <c r="Y155" s="36"/>
      <c r="Z155" s="36"/>
      <c r="AA155" s="50"/>
      <c r="AB155" s="81"/>
      <c r="AC155" s="656"/>
      <c r="AD155" s="656"/>
      <c r="AE155" s="656"/>
      <c r="AF155" s="28"/>
      <c r="AG155" s="28"/>
      <c r="AH155" s="137"/>
      <c r="AI155" s="137"/>
      <c r="AJ155" s="59"/>
      <c r="AK155" s="42"/>
      <c r="AL155" s="64"/>
      <c r="AM155" s="64"/>
      <c r="AN155" s="656"/>
      <c r="AO155" s="657"/>
      <c r="AV155" s="1278" t="s">
        <v>82</v>
      </c>
    </row>
    <row r="156" spans="1:67">
      <c r="A156" s="799"/>
      <c r="C156" s="3"/>
      <c r="D156" s="3"/>
      <c r="E156" s="44"/>
      <c r="F156" s="45"/>
      <c r="G156" s="44"/>
      <c r="H156" s="708"/>
      <c r="I156" s="65"/>
      <c r="J156" s="182"/>
      <c r="K156" s="126"/>
      <c r="L156" s="65"/>
      <c r="M156" s="65"/>
      <c r="N156" s="65"/>
      <c r="O156" s="65"/>
      <c r="P156" s="65"/>
      <c r="Q156" s="65"/>
      <c r="R156" s="127"/>
      <c r="S156" s="708"/>
      <c r="T156" s="708"/>
      <c r="U156" s="708"/>
      <c r="V156" s="708"/>
      <c r="W156" s="693"/>
      <c r="X156" s="708"/>
      <c r="Y156" s="36"/>
      <c r="Z156" s="36"/>
      <c r="AA156" s="50"/>
      <c r="AB156" s="81"/>
      <c r="AC156" s="693"/>
      <c r="AD156" s="693"/>
      <c r="AE156" s="693"/>
      <c r="AF156" s="28"/>
      <c r="AG156" s="28"/>
      <c r="AH156" s="137"/>
      <c r="AI156" s="137"/>
      <c r="AJ156" s="59"/>
      <c r="AK156" s="42"/>
      <c r="AL156" s="64"/>
      <c r="AM156" s="64"/>
      <c r="AN156" s="693"/>
      <c r="AO156" s="708"/>
    </row>
    <row r="157" spans="1:67">
      <c r="A157" s="799"/>
      <c r="B157" s="354" t="s">
        <v>320</v>
      </c>
      <c r="C157" s="1421" t="s">
        <v>131</v>
      </c>
      <c r="D157" s="1422"/>
      <c r="E157" s="1422"/>
      <c r="F157" s="1422"/>
      <c r="G157" s="1422"/>
      <c r="H157" s="1422"/>
      <c r="I157" s="1422"/>
      <c r="J157" s="1422"/>
      <c r="K157" s="1422"/>
      <c r="L157" s="1422"/>
      <c r="M157" s="1422"/>
      <c r="N157" s="1422"/>
      <c r="O157" s="1422"/>
      <c r="P157" s="1422"/>
      <c r="Q157" s="1422"/>
      <c r="R157" s="1422"/>
      <c r="S157" s="1422"/>
      <c r="T157" s="1423"/>
      <c r="U157" s="1423"/>
      <c r="V157" s="1423"/>
      <c r="W157" s="1423"/>
      <c r="X157" s="1423"/>
      <c r="Y157" s="1423"/>
      <c r="Z157" s="1423"/>
      <c r="AA157" s="1423"/>
      <c r="AB157" s="1423"/>
      <c r="AC157" s="1423"/>
      <c r="AD157" s="1423"/>
      <c r="AE157" s="1423"/>
      <c r="AF157" s="1423"/>
      <c r="AG157" s="1423"/>
      <c r="AH157" s="1423"/>
      <c r="AI157" s="1423"/>
      <c r="AJ157" s="1423"/>
      <c r="AK157" s="42"/>
      <c r="AL157" s="64"/>
      <c r="AM157" s="64"/>
      <c r="AN157" s="131"/>
      <c r="AO157" s="49"/>
    </row>
    <row r="158" spans="1:67" s="1122" customFormat="1" ht="30" customHeight="1">
      <c r="A158" s="1115"/>
      <c r="B158" s="1116"/>
      <c r="C158" s="1117" t="s">
        <v>116</v>
      </c>
      <c r="D158" s="1424" t="s">
        <v>39</v>
      </c>
      <c r="E158" s="1425"/>
      <c r="F158" s="1425"/>
      <c r="G158" s="1425"/>
      <c r="H158" s="1425"/>
      <c r="I158" s="1426"/>
      <c r="J158" s="1439" t="s">
        <v>106</v>
      </c>
      <c r="K158" s="1442"/>
      <c r="L158" s="1442"/>
      <c r="M158" s="1442"/>
      <c r="N158" s="1442"/>
      <c r="O158" s="1442"/>
      <c r="P158" s="1442"/>
      <c r="Q158" s="1442"/>
      <c r="R158" s="1439" t="s">
        <v>22</v>
      </c>
      <c r="S158" s="1440"/>
      <c r="T158" s="1409" t="s">
        <v>136</v>
      </c>
      <c r="U158" s="1410"/>
      <c r="V158" s="1410"/>
      <c r="W158" s="1410"/>
      <c r="X158" s="1410"/>
      <c r="Y158" s="1411" t="s">
        <v>126</v>
      </c>
      <c r="Z158" s="1412"/>
      <c r="AA158" s="1141"/>
      <c r="AB158" s="1142"/>
      <c r="AC158" s="1413" t="s">
        <v>101</v>
      </c>
      <c r="AD158" s="1414"/>
      <c r="AE158" s="1414"/>
      <c r="AF158" s="1415" t="s">
        <v>23</v>
      </c>
      <c r="AG158" s="1416"/>
      <c r="AH158" s="1143"/>
      <c r="AI158" s="1434" t="s">
        <v>25</v>
      </c>
      <c r="AJ158" s="1435"/>
      <c r="AK158" s="1435"/>
      <c r="AL158" s="1435"/>
      <c r="AM158" s="1435"/>
      <c r="AN158" s="1436"/>
      <c r="AO158" s="1120"/>
      <c r="AP158" s="1121"/>
      <c r="AV158" s="1317" t="s">
        <v>82</v>
      </c>
      <c r="BC158" s="1123"/>
    </row>
    <row r="159" spans="1:67">
      <c r="A159" s="799"/>
      <c r="B159" s="354"/>
      <c r="C159" s="573"/>
      <c r="D159" s="86">
        <v>1</v>
      </c>
      <c r="E159" s="38">
        <f t="shared" ref="E159:AO159" si="458">D159+1</f>
        <v>2</v>
      </c>
      <c r="F159" s="574">
        <f t="shared" si="458"/>
        <v>3</v>
      </c>
      <c r="G159" s="38">
        <f t="shared" si="458"/>
        <v>4</v>
      </c>
      <c r="H159" s="38">
        <f t="shared" si="458"/>
        <v>5</v>
      </c>
      <c r="I159" s="87">
        <f t="shared" si="458"/>
        <v>6</v>
      </c>
      <c r="J159" s="86">
        <f t="shared" si="458"/>
        <v>7</v>
      </c>
      <c r="K159" s="117">
        <f t="shared" si="458"/>
        <v>8</v>
      </c>
      <c r="L159" s="38">
        <f t="shared" si="458"/>
        <v>9</v>
      </c>
      <c r="M159" s="38">
        <f t="shared" si="458"/>
        <v>10</v>
      </c>
      <c r="N159" s="38">
        <f t="shared" si="458"/>
        <v>11</v>
      </c>
      <c r="O159" s="38">
        <f t="shared" si="458"/>
        <v>12</v>
      </c>
      <c r="P159" s="38">
        <f t="shared" si="458"/>
        <v>13</v>
      </c>
      <c r="Q159" s="38">
        <f t="shared" si="458"/>
        <v>14</v>
      </c>
      <c r="R159" s="358">
        <f t="shared" si="458"/>
        <v>15</v>
      </c>
      <c r="S159" s="359">
        <f t="shared" si="458"/>
        <v>16</v>
      </c>
      <c r="T159" s="86">
        <f t="shared" si="458"/>
        <v>17</v>
      </c>
      <c r="U159" s="38">
        <f t="shared" si="458"/>
        <v>18</v>
      </c>
      <c r="V159" s="38">
        <f t="shared" si="458"/>
        <v>19</v>
      </c>
      <c r="W159" s="38">
        <f t="shared" si="458"/>
        <v>20</v>
      </c>
      <c r="X159" s="38">
        <f t="shared" si="458"/>
        <v>21</v>
      </c>
      <c r="Y159" s="358">
        <f>X159+1</f>
        <v>22</v>
      </c>
      <c r="Z159" s="359">
        <f t="shared" ref="Z159" si="459">Y159+1</f>
        <v>23</v>
      </c>
      <c r="AA159" s="86">
        <f t="shared" si="458"/>
        <v>24</v>
      </c>
      <c r="AB159" s="87">
        <f t="shared" si="458"/>
        <v>25</v>
      </c>
      <c r="AC159" s="358">
        <f t="shared" si="458"/>
        <v>26</v>
      </c>
      <c r="AD159" s="117">
        <f t="shared" si="458"/>
        <v>27</v>
      </c>
      <c r="AE159" s="117">
        <f t="shared" si="458"/>
        <v>28</v>
      </c>
      <c r="AF159" s="358">
        <f t="shared" si="458"/>
        <v>29</v>
      </c>
      <c r="AG159" s="359">
        <f t="shared" si="458"/>
        <v>30</v>
      </c>
      <c r="AH159" s="359">
        <f t="shared" si="458"/>
        <v>31</v>
      </c>
      <c r="AI159" s="364">
        <f>AH159+1</f>
        <v>32</v>
      </c>
      <c r="AJ159" s="38">
        <f>AI159+1</f>
        <v>33</v>
      </c>
      <c r="AK159" s="38">
        <f t="shared" si="458"/>
        <v>34</v>
      </c>
      <c r="AL159" s="38">
        <f t="shared" si="458"/>
        <v>35</v>
      </c>
      <c r="AM159" s="38">
        <f t="shared" ref="AM159" si="460">AL159+1</f>
        <v>36</v>
      </c>
      <c r="AN159" s="359">
        <f>AM159+1</f>
        <v>37</v>
      </c>
      <c r="AO159" s="38">
        <f t="shared" si="458"/>
        <v>38</v>
      </c>
    </row>
    <row r="160" spans="1:67" s="147" customFormat="1" ht="130.25" customHeight="1">
      <c r="A160" s="795"/>
      <c r="B160" s="146"/>
      <c r="C160" s="1159" t="s">
        <v>950</v>
      </c>
      <c r="D160" s="1023" t="s">
        <v>622</v>
      </c>
      <c r="E160" s="1024" t="s">
        <v>623</v>
      </c>
      <c r="F160" s="1025" t="s">
        <v>624</v>
      </c>
      <c r="G160" s="1025" t="s">
        <v>408</v>
      </c>
      <c r="H160" s="418" t="s">
        <v>409</v>
      </c>
      <c r="I160" s="820" t="s">
        <v>507</v>
      </c>
      <c r="J160" s="1023" t="s">
        <v>953</v>
      </c>
      <c r="K160" s="1025" t="s">
        <v>954</v>
      </c>
      <c r="L160" s="1162" t="s">
        <v>625</v>
      </c>
      <c r="M160" s="1025" t="s">
        <v>626</v>
      </c>
      <c r="N160" s="1025" t="s">
        <v>117</v>
      </c>
      <c r="O160" s="1025" t="s">
        <v>118</v>
      </c>
      <c r="P160" s="1025" t="s">
        <v>627</v>
      </c>
      <c r="Q160" s="1027" t="s">
        <v>628</v>
      </c>
      <c r="R160" s="563" t="s">
        <v>492</v>
      </c>
      <c r="S160" s="322" t="s">
        <v>493</v>
      </c>
      <c r="T160" s="819" t="s">
        <v>959</v>
      </c>
      <c r="U160" s="819" t="s">
        <v>629</v>
      </c>
      <c r="V160" s="1269" t="s">
        <v>630</v>
      </c>
      <c r="W160" s="819" t="s">
        <v>484</v>
      </c>
      <c r="X160" s="1201" t="s">
        <v>569</v>
      </c>
      <c r="Y160" s="175" t="s">
        <v>425</v>
      </c>
      <c r="Z160" s="545" t="s">
        <v>520</v>
      </c>
      <c r="AA160" s="819" t="s">
        <v>427</v>
      </c>
      <c r="AB160" s="819" t="s">
        <v>428</v>
      </c>
      <c r="AC160" s="1030" t="s">
        <v>429</v>
      </c>
      <c r="AD160" s="819" t="s">
        <v>631</v>
      </c>
      <c r="AE160" s="819" t="s">
        <v>529</v>
      </c>
      <c r="AF160" s="546" t="s">
        <v>318</v>
      </c>
      <c r="AG160" s="568" t="s">
        <v>632</v>
      </c>
      <c r="AH160" s="1156" t="s">
        <v>434</v>
      </c>
      <c r="AI160" s="1054" t="s">
        <v>346</v>
      </c>
      <c r="AJ160" s="1055" t="s">
        <v>435</v>
      </c>
      <c r="AK160" s="1074" t="s">
        <v>0</v>
      </c>
      <c r="AL160" s="1024" t="s">
        <v>26</v>
      </c>
      <c r="AM160" s="819" t="s">
        <v>402</v>
      </c>
      <c r="AN160" s="820" t="s">
        <v>343</v>
      </c>
      <c r="AO160" s="547" t="s">
        <v>436</v>
      </c>
      <c r="AP160" s="446"/>
      <c r="AQ160" s="1159" t="s">
        <v>950</v>
      </c>
      <c r="AR160" s="418" t="s">
        <v>438</v>
      </c>
      <c r="AS160" s="418" t="s">
        <v>439</v>
      </c>
      <c r="AT160" s="361" t="s">
        <v>440</v>
      </c>
      <c r="AU160" s="861" t="s">
        <v>403</v>
      </c>
      <c r="AV160" s="861" t="s">
        <v>746</v>
      </c>
      <c r="BC160" s="978" t="s">
        <v>779</v>
      </c>
    </row>
    <row r="161" spans="1:70" s="6" customFormat="1" ht="15" customHeight="1">
      <c r="A161" s="584">
        <f>A153+1</f>
        <v>60</v>
      </c>
      <c r="B161" s="769">
        <f>B153+1</f>
        <v>50</v>
      </c>
      <c r="C161" s="661" t="s">
        <v>235</v>
      </c>
      <c r="D161" s="1160">
        <v>106</v>
      </c>
      <c r="E161" s="1161">
        <v>106</v>
      </c>
      <c r="F161" s="1161">
        <v>122</v>
      </c>
      <c r="G161" s="629">
        <f>F161*1.15</f>
        <v>140.29999999999998</v>
      </c>
      <c r="H161" s="550">
        <f>(E161*0.23)</f>
        <v>24.380000000000003</v>
      </c>
      <c r="I161" s="306">
        <f>0.5*(H161*1.1)</f>
        <v>13.409000000000002</v>
      </c>
      <c r="J161" s="1163" t="s">
        <v>111</v>
      </c>
      <c r="K161" s="1164">
        <v>170</v>
      </c>
      <c r="L161" s="1163" t="s">
        <v>111</v>
      </c>
      <c r="M161" s="790" t="s">
        <v>111</v>
      </c>
      <c r="N161" s="1163" t="s">
        <v>111</v>
      </c>
      <c r="O161" s="1163" t="s">
        <v>111</v>
      </c>
      <c r="P161" s="1163" t="s">
        <v>111</v>
      </c>
      <c r="Q161" s="1165">
        <f>SUM(K161:P161)</f>
        <v>170</v>
      </c>
      <c r="R161" s="556">
        <f>2*Q161</f>
        <v>340</v>
      </c>
      <c r="S161" s="643">
        <f>R161+(2*71)</f>
        <v>482</v>
      </c>
      <c r="T161" s="662">
        <v>35.65</v>
      </c>
      <c r="U161" s="663" t="s">
        <v>111</v>
      </c>
      <c r="V161" s="663" t="s">
        <v>111</v>
      </c>
      <c r="W161" s="663" t="s">
        <v>111</v>
      </c>
      <c r="X161" s="611">
        <f>SUM(T161:V161)</f>
        <v>35.65</v>
      </c>
      <c r="Y161" s="530">
        <f>2*X161</f>
        <v>71.3</v>
      </c>
      <c r="Z161" s="511">
        <f>Y161+(23)</f>
        <v>94.3</v>
      </c>
      <c r="AA161" s="612">
        <f>Z161-H161</f>
        <v>69.919999999999987</v>
      </c>
      <c r="AB161" s="618">
        <f>Z161-I161</f>
        <v>80.890999999999991</v>
      </c>
      <c r="AC161" s="631" t="s">
        <v>111</v>
      </c>
      <c r="AD161" s="632">
        <f>T161</f>
        <v>35.65</v>
      </c>
      <c r="AE161" s="632">
        <f>SUM(AC161:AD161)</f>
        <v>35.65</v>
      </c>
      <c r="AF161" s="251">
        <f>2*AE161</f>
        <v>71.3</v>
      </c>
      <c r="AG161" s="252">
        <f>AF161+(23)</f>
        <v>94.3</v>
      </c>
      <c r="AH161" s="618">
        <f t="shared" ref="AH161:AH164" si="461">AG161-I161</f>
        <v>80.890999999999991</v>
      </c>
      <c r="AI161" s="1076" t="s">
        <v>362</v>
      </c>
      <c r="AJ161" s="1088">
        <v>53</v>
      </c>
      <c r="AK161" s="1075">
        <f>(2*AJ161)+(2*71)+(2*45)</f>
        <v>338</v>
      </c>
      <c r="AL161" s="1060">
        <f>S161-AK161</f>
        <v>144</v>
      </c>
      <c r="AM161" s="611">
        <v>15</v>
      </c>
      <c r="AN161" s="306">
        <f>275+(23)+AM161</f>
        <v>313</v>
      </c>
      <c r="AO161" s="548">
        <f>Z161-AN161</f>
        <v>-218.7</v>
      </c>
      <c r="AP161" s="446"/>
      <c r="AQ161" s="661" t="s">
        <v>237</v>
      </c>
      <c r="AR161" s="695">
        <f>H161</f>
        <v>24.380000000000003</v>
      </c>
      <c r="AS161" s="695">
        <f>Z161</f>
        <v>94.3</v>
      </c>
      <c r="AT161" s="695">
        <f>AN161</f>
        <v>313</v>
      </c>
      <c r="AU161" s="696">
        <f>S161-G161</f>
        <v>341.70000000000005</v>
      </c>
      <c r="AV161" s="698">
        <f>AL161</f>
        <v>144</v>
      </c>
      <c r="BC161" s="989">
        <f>B161</f>
        <v>50</v>
      </c>
      <c r="BR161" s="6">
        <v>1</v>
      </c>
    </row>
    <row r="162" spans="1:70" s="147" customFormat="1">
      <c r="A162" s="795">
        <f>A161+1</f>
        <v>61</v>
      </c>
      <c r="B162" s="769">
        <f>B161+1</f>
        <v>51</v>
      </c>
      <c r="C162" s="586" t="s">
        <v>236</v>
      </c>
      <c r="D162" s="1094">
        <v>107</v>
      </c>
      <c r="E162" s="629">
        <f>(2*D162)</f>
        <v>214</v>
      </c>
      <c r="F162" s="877">
        <f>2*115</f>
        <v>230</v>
      </c>
      <c r="G162" s="629">
        <f>F162*1.15</f>
        <v>264.5</v>
      </c>
      <c r="H162" s="550">
        <f>(E162*0.23)</f>
        <v>49.22</v>
      </c>
      <c r="I162" s="306">
        <f>0.5*(H162*1.1)</f>
        <v>27.071000000000002</v>
      </c>
      <c r="J162" s="790" t="s">
        <v>111</v>
      </c>
      <c r="K162" s="875">
        <v>125</v>
      </c>
      <c r="L162" s="790" t="s">
        <v>111</v>
      </c>
      <c r="M162" s="790" t="s">
        <v>111</v>
      </c>
      <c r="N162" s="790" t="s">
        <v>111</v>
      </c>
      <c r="O162" s="790" t="s">
        <v>111</v>
      </c>
      <c r="P162" s="790" t="s">
        <v>111</v>
      </c>
      <c r="Q162" s="875">
        <f>SUM(K162:P162)</f>
        <v>125</v>
      </c>
      <c r="R162" s="556">
        <f>2*Q162</f>
        <v>250</v>
      </c>
      <c r="S162" s="643">
        <f>R162+(2*71)</f>
        <v>392</v>
      </c>
      <c r="T162" s="608">
        <v>30.45</v>
      </c>
      <c r="U162" s="664" t="s">
        <v>111</v>
      </c>
      <c r="V162" s="664" t="s">
        <v>111</v>
      </c>
      <c r="W162" s="664" t="s">
        <v>111</v>
      </c>
      <c r="X162" s="612">
        <f>SUM(T162:V162)</f>
        <v>30.45</v>
      </c>
      <c r="Y162" s="530">
        <f>2*X162</f>
        <v>60.9</v>
      </c>
      <c r="Z162" s="511">
        <f>Y162+(23)</f>
        <v>83.9</v>
      </c>
      <c r="AA162" s="612">
        <f>Z162-H162</f>
        <v>34.680000000000007</v>
      </c>
      <c r="AB162" s="618">
        <f>Z162-I162</f>
        <v>56.829000000000008</v>
      </c>
      <c r="AC162" s="631" t="s">
        <v>111</v>
      </c>
      <c r="AD162" s="632">
        <f>T162</f>
        <v>30.45</v>
      </c>
      <c r="AE162" s="632">
        <f>SUM(AC162:AD162)</f>
        <v>30.45</v>
      </c>
      <c r="AF162" s="251">
        <f>2*AE162</f>
        <v>60.9</v>
      </c>
      <c r="AG162" s="252">
        <f>AF162+(23)</f>
        <v>83.9</v>
      </c>
      <c r="AH162" s="618">
        <f>AG162-I162</f>
        <v>56.829000000000008</v>
      </c>
      <c r="AI162" s="617" t="s">
        <v>362</v>
      </c>
      <c r="AJ162" s="1088">
        <v>53</v>
      </c>
      <c r="AK162" s="1075">
        <f>(2*AJ162)+(2*71)+(2*45)</f>
        <v>338</v>
      </c>
      <c r="AL162" s="875">
        <f>S162-AK162</f>
        <v>54</v>
      </c>
      <c r="AM162" s="612">
        <v>15</v>
      </c>
      <c r="AN162" s="306">
        <f>275+(23)+AM162</f>
        <v>313</v>
      </c>
      <c r="AO162" s="551">
        <f>Z162-AN162</f>
        <v>-229.1</v>
      </c>
      <c r="AP162" s="453"/>
      <c r="AQ162" s="273" t="s">
        <v>120</v>
      </c>
      <c r="AR162" s="695">
        <f t="shared" ref="AR162:AR164" si="462">H162</f>
        <v>49.22</v>
      </c>
      <c r="AS162" s="695">
        <f t="shared" ref="AS162:AS164" si="463">Z162</f>
        <v>83.9</v>
      </c>
      <c r="AT162" s="695">
        <f t="shared" ref="AT162:AT164" si="464">AN162</f>
        <v>313</v>
      </c>
      <c r="AU162" s="696">
        <f t="shared" ref="AU162:AU164" si="465">S162-G162</f>
        <v>127.5</v>
      </c>
      <c r="AV162" s="698">
        <f t="shared" ref="AV162:AV164" si="466">AL162</f>
        <v>54</v>
      </c>
      <c r="BC162" s="989">
        <f t="shared" ref="BC162:BC164" si="467">B162</f>
        <v>51</v>
      </c>
      <c r="BR162" s="147">
        <v>1</v>
      </c>
    </row>
    <row r="163" spans="1:70" ht="15" customHeight="1">
      <c r="A163" s="795">
        <f t="shared" ref="A163:A164" si="468">A162+1</f>
        <v>62</v>
      </c>
      <c r="B163" s="769">
        <f t="shared" ref="B163:B164" si="469">B162+1</f>
        <v>52</v>
      </c>
      <c r="C163" s="273" t="s">
        <v>955</v>
      </c>
      <c r="D163" s="630">
        <v>120</v>
      </c>
      <c r="E163" s="1150">
        <f>(2*D163)</f>
        <v>240</v>
      </c>
      <c r="F163" s="1060">
        <f>(2*125)</f>
        <v>250</v>
      </c>
      <c r="G163" s="629">
        <f>F163*1.15</f>
        <v>287.5</v>
      </c>
      <c r="H163" s="550">
        <f>(E163*0.23)</f>
        <v>55.2</v>
      </c>
      <c r="I163" s="306">
        <f>0.5*(H163*1.1)</f>
        <v>30.360000000000003</v>
      </c>
      <c r="J163" s="1163" t="s">
        <v>111</v>
      </c>
      <c r="K163" s="875">
        <v>170</v>
      </c>
      <c r="L163" s="1163" t="s">
        <v>111</v>
      </c>
      <c r="M163" s="790" t="s">
        <v>111</v>
      </c>
      <c r="N163" s="1163" t="s">
        <v>111</v>
      </c>
      <c r="O163" s="1163" t="s">
        <v>111</v>
      </c>
      <c r="P163" s="1163" t="s">
        <v>111</v>
      </c>
      <c r="Q163" s="1060">
        <f>SUM(K163:P163)</f>
        <v>170</v>
      </c>
      <c r="R163" s="556">
        <f>2*Q163</f>
        <v>340</v>
      </c>
      <c r="S163" s="643">
        <f>R163+(2*71)</f>
        <v>482</v>
      </c>
      <c r="T163" s="662">
        <v>37.799999999999997</v>
      </c>
      <c r="U163" s="663" t="s">
        <v>111</v>
      </c>
      <c r="V163" s="663" t="s">
        <v>111</v>
      </c>
      <c r="W163" s="663" t="s">
        <v>111</v>
      </c>
      <c r="X163" s="611">
        <f>SUM(T163:V163)</f>
        <v>37.799999999999997</v>
      </c>
      <c r="Y163" s="530">
        <f>2*X163</f>
        <v>75.599999999999994</v>
      </c>
      <c r="Z163" s="511">
        <f>Y163+(23)</f>
        <v>98.6</v>
      </c>
      <c r="AA163" s="612">
        <f>Z163-H163</f>
        <v>43.399999999999991</v>
      </c>
      <c r="AB163" s="618">
        <f>Z163-I163</f>
        <v>68.239999999999995</v>
      </c>
      <c r="AC163" s="631" t="s">
        <v>111</v>
      </c>
      <c r="AD163" s="632">
        <f>T163</f>
        <v>37.799999999999997</v>
      </c>
      <c r="AE163" s="632">
        <f>SUM(AC163:AD163)</f>
        <v>37.799999999999997</v>
      </c>
      <c r="AF163" s="251">
        <f>2*AE163</f>
        <v>75.599999999999994</v>
      </c>
      <c r="AG163" s="252">
        <f>AF163+(23)</f>
        <v>98.6</v>
      </c>
      <c r="AH163" s="618">
        <f>AG163-I163</f>
        <v>68.239999999999995</v>
      </c>
      <c r="AI163" s="1076" t="s">
        <v>363</v>
      </c>
      <c r="AJ163" s="1075">
        <v>53</v>
      </c>
      <c r="AK163" s="1075">
        <f>(2*AJ163)+(2*71)+(2*45)</f>
        <v>338</v>
      </c>
      <c r="AL163" s="1060">
        <f>S163-AK163</f>
        <v>144</v>
      </c>
      <c r="AM163" s="611" t="s">
        <v>113</v>
      </c>
      <c r="AN163" s="306">
        <f>275+(23)</f>
        <v>298</v>
      </c>
      <c r="AO163" s="548">
        <f>Z163-AN163</f>
        <v>-199.4</v>
      </c>
      <c r="AP163" s="453"/>
      <c r="AQ163" s="304" t="s">
        <v>119</v>
      </c>
      <c r="AR163" s="695">
        <f t="shared" si="462"/>
        <v>55.2</v>
      </c>
      <c r="AS163" s="695">
        <f t="shared" si="463"/>
        <v>98.6</v>
      </c>
      <c r="AT163" s="695">
        <f t="shared" si="464"/>
        <v>298</v>
      </c>
      <c r="AU163" s="696">
        <f t="shared" si="465"/>
        <v>194.5</v>
      </c>
      <c r="AV163" s="698">
        <f t="shared" si="466"/>
        <v>144</v>
      </c>
      <c r="BC163" s="989">
        <f t="shared" si="467"/>
        <v>52</v>
      </c>
      <c r="BR163">
        <v>1</v>
      </c>
    </row>
    <row r="164" spans="1:70" s="634" customFormat="1" ht="17" customHeight="1">
      <c r="A164" s="795">
        <f t="shared" si="468"/>
        <v>63</v>
      </c>
      <c r="B164" s="769">
        <f t="shared" si="469"/>
        <v>53</v>
      </c>
      <c r="C164" s="273" t="s">
        <v>956</v>
      </c>
      <c r="D164" s="630">
        <v>134</v>
      </c>
      <c r="E164" s="1150">
        <f>(2*D164)</f>
        <v>268</v>
      </c>
      <c r="F164" s="1060">
        <f>(2*145)</f>
        <v>290</v>
      </c>
      <c r="G164" s="629">
        <f>F164*1.15</f>
        <v>333.5</v>
      </c>
      <c r="H164" s="550">
        <f t="shared" ref="H164" si="470">(E164*0.23)</f>
        <v>61.64</v>
      </c>
      <c r="I164" s="306">
        <f t="shared" ref="I164" si="471">0.5*(H164*1.1)</f>
        <v>33.902000000000001</v>
      </c>
      <c r="J164" s="1163" t="s">
        <v>111</v>
      </c>
      <c r="K164" s="875">
        <v>170</v>
      </c>
      <c r="L164" s="1163">
        <v>30</v>
      </c>
      <c r="M164" s="790">
        <v>26</v>
      </c>
      <c r="N164" s="1163" t="s">
        <v>111</v>
      </c>
      <c r="O164" s="1163" t="s">
        <v>111</v>
      </c>
      <c r="P164" s="1163" t="s">
        <v>111</v>
      </c>
      <c r="Q164" s="1060">
        <f>SUM(K164:N164)</f>
        <v>226</v>
      </c>
      <c r="R164" s="556">
        <f>2*Q164</f>
        <v>452</v>
      </c>
      <c r="S164" s="643">
        <f>R164+(2*71)</f>
        <v>594</v>
      </c>
      <c r="T164" s="662">
        <v>37.799999999999997</v>
      </c>
      <c r="U164" s="608">
        <v>6</v>
      </c>
      <c r="V164" s="663" t="s">
        <v>111</v>
      </c>
      <c r="W164" s="663" t="s">
        <v>111</v>
      </c>
      <c r="X164" s="611">
        <f>SUM(T164:V164)</f>
        <v>43.8</v>
      </c>
      <c r="Y164" s="530">
        <f>2*X164</f>
        <v>87.6</v>
      </c>
      <c r="Z164" s="511">
        <f>Y164+(23)</f>
        <v>110.6</v>
      </c>
      <c r="AA164" s="612">
        <f>Z164-H164</f>
        <v>48.959999999999994</v>
      </c>
      <c r="AB164" s="618">
        <f>Z164-I164</f>
        <v>76.697999999999993</v>
      </c>
      <c r="AC164" s="631" t="s">
        <v>111</v>
      </c>
      <c r="AD164" s="632">
        <f>T164+U164</f>
        <v>43.8</v>
      </c>
      <c r="AE164" s="632">
        <f>SUM(AC164:AD164)</f>
        <v>43.8</v>
      </c>
      <c r="AF164" s="251">
        <f>2*AE164</f>
        <v>87.6</v>
      </c>
      <c r="AG164" s="252">
        <f>AF164+(23)</f>
        <v>110.6</v>
      </c>
      <c r="AH164" s="618">
        <f t="shared" si="461"/>
        <v>76.697999999999993</v>
      </c>
      <c r="AI164" s="1157" t="s">
        <v>364</v>
      </c>
      <c r="AJ164" s="1075">
        <v>263</v>
      </c>
      <c r="AK164" s="1075">
        <f>(2*AJ164)+(2*71)+(2*45)</f>
        <v>758</v>
      </c>
      <c r="AL164" s="1060">
        <f>S164-AK164</f>
        <v>-164</v>
      </c>
      <c r="AM164" s="611" t="s">
        <v>113</v>
      </c>
      <c r="AN164" s="306">
        <f>308+(23)</f>
        <v>331</v>
      </c>
      <c r="AO164" s="550">
        <f>Z164-AN164</f>
        <v>-220.4</v>
      </c>
      <c r="AP164" s="453"/>
      <c r="AQ164" s="273" t="s">
        <v>121</v>
      </c>
      <c r="AR164" s="695">
        <f t="shared" si="462"/>
        <v>61.64</v>
      </c>
      <c r="AS164" s="695">
        <f t="shared" si="463"/>
        <v>110.6</v>
      </c>
      <c r="AT164" s="695">
        <f t="shared" si="464"/>
        <v>331</v>
      </c>
      <c r="AU164" s="696">
        <f t="shared" si="465"/>
        <v>260.5</v>
      </c>
      <c r="AV164" s="698">
        <f t="shared" si="466"/>
        <v>-164</v>
      </c>
      <c r="BC164" s="989">
        <f t="shared" si="467"/>
        <v>53</v>
      </c>
      <c r="BR164" s="634">
        <v>1</v>
      </c>
    </row>
    <row r="165" spans="1:70" s="147" customFormat="1" ht="196.25" customHeight="1">
      <c r="A165" s="795"/>
      <c r="B165" s="146"/>
      <c r="C165" s="1091" t="s">
        <v>951</v>
      </c>
      <c r="D165" s="1427" t="s">
        <v>952</v>
      </c>
      <c r="E165" s="1399"/>
      <c r="F165" s="872" t="s">
        <v>872</v>
      </c>
      <c r="G165" s="1099" t="s">
        <v>873</v>
      </c>
      <c r="H165" s="1046" t="s">
        <v>190</v>
      </c>
      <c r="I165" s="994"/>
      <c r="J165" s="677" t="s">
        <v>7</v>
      </c>
      <c r="K165" s="1062" t="s">
        <v>957</v>
      </c>
      <c r="L165" s="1166" t="s">
        <v>51</v>
      </c>
      <c r="M165" s="319" t="s">
        <v>958</v>
      </c>
      <c r="N165" s="57"/>
      <c r="O165" s="163"/>
      <c r="P165" s="57"/>
      <c r="Q165" s="57"/>
      <c r="R165" s="552"/>
      <c r="S165" s="1007" t="s">
        <v>1163</v>
      </c>
      <c r="T165" s="842" t="s">
        <v>1211</v>
      </c>
      <c r="U165" s="1277" t="s">
        <v>1212</v>
      </c>
      <c r="W165" s="40"/>
      <c r="X165" s="40"/>
      <c r="Y165" s="180"/>
      <c r="Z165" s="1067" t="s">
        <v>1170</v>
      </c>
      <c r="AA165" s="993"/>
      <c r="AB165" s="1036" t="s">
        <v>220</v>
      </c>
      <c r="AC165" s="589"/>
      <c r="AD165" s="588" t="s">
        <v>633</v>
      </c>
      <c r="AE165" s="51"/>
      <c r="AF165" s="95"/>
      <c r="AG165" s="1067" t="s">
        <v>1170</v>
      </c>
      <c r="AH165" s="329"/>
      <c r="AI165" s="1167"/>
      <c r="AJ165" s="1078" t="s">
        <v>1153</v>
      </c>
      <c r="AK165" s="1014" t="s">
        <v>2</v>
      </c>
      <c r="AL165" s="36"/>
      <c r="AM165" s="36"/>
      <c r="AN165" s="752" t="s">
        <v>937</v>
      </c>
      <c r="AO165" s="61"/>
      <c r="AP165" s="446"/>
      <c r="AQ165" s="1091" t="s">
        <v>951</v>
      </c>
      <c r="AR165" s="288"/>
      <c r="AS165" s="239"/>
      <c r="BC165" s="760"/>
    </row>
    <row r="166" spans="1:70" s="1290" customFormat="1" ht="22.25" customHeight="1">
      <c r="A166" s="795"/>
      <c r="B166" s="146"/>
      <c r="C166" s="1091"/>
      <c r="D166" s="46"/>
      <c r="E166" s="1288"/>
      <c r="F166" s="872"/>
      <c r="G166" s="1099"/>
      <c r="H166" s="1295"/>
      <c r="I166" s="1293"/>
      <c r="J166" s="677"/>
      <c r="K166" s="1062"/>
      <c r="L166" s="1166"/>
      <c r="M166" s="1293"/>
      <c r="N166" s="57"/>
      <c r="O166" s="845"/>
      <c r="P166" s="57"/>
      <c r="Q166" s="57"/>
      <c r="R166" s="41"/>
      <c r="S166" s="65"/>
      <c r="T166" s="842"/>
      <c r="U166" s="1293"/>
      <c r="W166" s="40"/>
      <c r="X166" s="40"/>
      <c r="Y166" s="58"/>
      <c r="Z166" s="1063"/>
      <c r="AA166" s="993"/>
      <c r="AB166" s="1036"/>
      <c r="AC166" s="1294"/>
      <c r="AD166" s="588"/>
      <c r="AE166" s="51"/>
      <c r="AF166" s="36"/>
      <c r="AG166" s="1063"/>
      <c r="AH166" s="658"/>
      <c r="AI166" s="1167"/>
      <c r="AJ166" s="1078"/>
      <c r="AK166" s="1291"/>
      <c r="AL166" s="36"/>
      <c r="AM166" s="36"/>
      <c r="AN166" s="1313"/>
      <c r="AO166" s="1292"/>
      <c r="AP166" s="446"/>
      <c r="AQ166" s="1091"/>
      <c r="AR166" s="288"/>
      <c r="AS166" s="239"/>
      <c r="BC166" s="1289"/>
    </row>
    <row r="167" spans="1:70" s="1290" customFormat="1" ht="20.5" customHeight="1">
      <c r="A167" s="795"/>
      <c r="B167" s="146"/>
      <c r="C167" s="1091"/>
      <c r="D167" s="46"/>
      <c r="E167" s="1288"/>
      <c r="F167" s="872"/>
      <c r="G167" s="1099"/>
      <c r="H167" s="1295"/>
      <c r="I167" s="1293"/>
      <c r="J167" s="677"/>
      <c r="K167" s="1062"/>
      <c r="L167" s="1166"/>
      <c r="M167" s="1293"/>
      <c r="N167" s="57"/>
      <c r="O167" s="845"/>
      <c r="P167" s="57"/>
      <c r="Q167" s="57"/>
      <c r="R167" s="41"/>
      <c r="S167" s="65"/>
      <c r="T167" s="842"/>
      <c r="U167" s="1293"/>
      <c r="W167" s="40"/>
      <c r="X167" s="40"/>
      <c r="Y167" s="58"/>
      <c r="Z167" s="1063"/>
      <c r="AA167" s="993"/>
      <c r="AB167" s="1036"/>
      <c r="AC167" s="1294"/>
      <c r="AD167" s="588"/>
      <c r="AE167" s="51"/>
      <c r="AF167" s="36"/>
      <c r="AG167" s="1063"/>
      <c r="AH167" s="658"/>
      <c r="AI167" s="1167"/>
      <c r="AJ167" s="1078"/>
      <c r="AK167" s="1291"/>
      <c r="AL167" s="36"/>
      <c r="AM167" s="36"/>
      <c r="AN167" s="1313"/>
      <c r="AO167" s="1292"/>
      <c r="AP167" s="446"/>
      <c r="AQ167" s="1091"/>
      <c r="AR167" s="288"/>
      <c r="AS167" s="239"/>
      <c r="BC167" s="1289"/>
      <c r="BD167" s="1296" t="s">
        <v>1226</v>
      </c>
      <c r="BE167" s="1298" t="s">
        <v>1228</v>
      </c>
      <c r="BF167" s="1298"/>
      <c r="BG167"/>
      <c r="BH167" s="1298" t="s">
        <v>1231</v>
      </c>
      <c r="BI167"/>
      <c r="BJ167"/>
      <c r="BK167" s="1298" t="s">
        <v>1232</v>
      </c>
      <c r="BL167" s="1298"/>
      <c r="BM167"/>
      <c r="BN167" s="1298" t="s">
        <v>1233</v>
      </c>
      <c r="BO167" s="1298"/>
      <c r="BP167"/>
      <c r="BQ167" s="1298" t="s">
        <v>1234</v>
      </c>
      <c r="BR167" s="1298"/>
    </row>
    <row r="168" spans="1:70" s="1290" customFormat="1" ht="33.5" customHeight="1">
      <c r="A168" s="795"/>
      <c r="B168" s="146"/>
      <c r="C168" s="1091"/>
      <c r="D168" s="46"/>
      <c r="E168" s="1288"/>
      <c r="F168" s="872"/>
      <c r="G168" s="1099"/>
      <c r="H168" s="1295"/>
      <c r="I168" s="1293"/>
      <c r="J168" s="677"/>
      <c r="K168" s="1062"/>
      <c r="L168" s="1166"/>
      <c r="M168" s="1293"/>
      <c r="N168" s="57"/>
      <c r="O168" s="845"/>
      <c r="P168" s="57"/>
      <c r="Q168" s="57"/>
      <c r="R168" s="41"/>
      <c r="S168" s="65"/>
      <c r="T168" s="842"/>
      <c r="U168" s="1293"/>
      <c r="W168" s="40"/>
      <c r="X168" s="40"/>
      <c r="Y168" s="58"/>
      <c r="Z168" s="1063"/>
      <c r="AA168" s="993"/>
      <c r="AB168" s="1036"/>
      <c r="AC168" s="1294"/>
      <c r="AD168" s="588"/>
      <c r="AE168" s="51"/>
      <c r="AF168" s="36"/>
      <c r="AG168" s="1063"/>
      <c r="AH168" s="658"/>
      <c r="AI168" s="1167"/>
      <c r="AJ168" s="1078"/>
      <c r="AK168" s="1291"/>
      <c r="AL168" s="36"/>
      <c r="AM168" s="36"/>
      <c r="AN168" s="1313"/>
      <c r="AO168" s="1292"/>
      <c r="AP168" s="446"/>
      <c r="AQ168" s="1091"/>
      <c r="AR168" s="288"/>
      <c r="AS168" s="239"/>
      <c r="BC168" s="1289"/>
      <c r="BD168" s="1297" t="s">
        <v>1227</v>
      </c>
      <c r="BE168" s="1299" t="s">
        <v>1229</v>
      </c>
      <c r="BF168" s="1300" t="s">
        <v>1230</v>
      </c>
      <c r="BG168" s="98"/>
      <c r="BH168" s="1299" t="s">
        <v>1229</v>
      </c>
      <c r="BI168" s="1301" t="s">
        <v>1230</v>
      </c>
      <c r="BJ168" s="98"/>
      <c r="BK168" s="1299" t="s">
        <v>1229</v>
      </c>
      <c r="BL168" s="1301" t="s">
        <v>1230</v>
      </c>
      <c r="BM168" s="98"/>
      <c r="BN168" s="1299" t="s">
        <v>1229</v>
      </c>
      <c r="BO168" s="1301" t="s">
        <v>1230</v>
      </c>
      <c r="BP168" s="98"/>
      <c r="BQ168" s="1299" t="s">
        <v>1229</v>
      </c>
      <c r="BR168" s="1301" t="s">
        <v>1230</v>
      </c>
    </row>
    <row r="169" spans="1:70" s="147" customFormat="1">
      <c r="A169" s="796"/>
      <c r="B169" s="146"/>
      <c r="C169" s="1302" t="s">
        <v>1235</v>
      </c>
      <c r="D169" s="164"/>
      <c r="E169" s="164"/>
      <c r="F169" s="172"/>
      <c r="G169" s="164"/>
      <c r="H169" s="158"/>
      <c r="I169" s="158"/>
      <c r="J169" s="164"/>
      <c r="K169" s="164"/>
      <c r="L169" s="415"/>
      <c r="M169" s="164"/>
      <c r="N169" s="164"/>
      <c r="O169" s="164"/>
      <c r="P169" s="164"/>
      <c r="Q169" s="164"/>
      <c r="R169" s="416"/>
      <c r="S169" s="417"/>
      <c r="T169" s="164"/>
      <c r="U169" s="164"/>
      <c r="V169" s="164"/>
      <c r="W169" s="164"/>
      <c r="X169" s="164"/>
      <c r="Y169" s="418"/>
      <c r="Z169" s="361"/>
      <c r="AA169" s="419"/>
      <c r="AB169" s="419"/>
      <c r="AC169" s="164"/>
      <c r="AD169" s="164"/>
      <c r="AE169" s="172"/>
      <c r="AF169" s="420"/>
      <c r="AG169" s="361"/>
      <c r="AH169" s="172"/>
      <c r="AI169" s="172"/>
      <c r="AJ169" s="345"/>
      <c r="AK169" s="421"/>
      <c r="AL169" s="164"/>
      <c r="AM169" s="164"/>
      <c r="AN169" s="203"/>
      <c r="AO169" s="422"/>
      <c r="AP169" s="453"/>
      <c r="AQ169" s="238"/>
      <c r="AR169" s="288"/>
      <c r="AS169" s="239"/>
      <c r="AV169" s="1279" t="s">
        <v>82</v>
      </c>
      <c r="BB169" s="1314" t="s">
        <v>1242</v>
      </c>
      <c r="BC169" s="1308"/>
    </row>
    <row r="170" spans="1:70">
      <c r="C170" s="1303" t="s">
        <v>1236</v>
      </c>
      <c r="BB170" s="1290"/>
      <c r="BC170" s="1303" t="s">
        <v>1236</v>
      </c>
      <c r="BE170" s="1306">
        <f>SUM(BE8:BE164)</f>
        <v>0</v>
      </c>
      <c r="BF170" s="1307">
        <f>SUM(BF8:BF164)</f>
        <v>24</v>
      </c>
      <c r="BH170" s="1306">
        <f t="shared" ref="BH170:BI170" si="472">SUM(BH8:BH164)</f>
        <v>10</v>
      </c>
      <c r="BI170" s="1307">
        <f t="shared" si="472"/>
        <v>15</v>
      </c>
      <c r="BK170" s="1306">
        <f t="shared" ref="BK170:BL170" si="473">SUM(BK8:BK164)</f>
        <v>0</v>
      </c>
      <c r="BL170" s="1307">
        <f t="shared" si="473"/>
        <v>3</v>
      </c>
      <c r="BN170" s="1306">
        <f t="shared" ref="BN170:BO170" si="474">SUM(BN8:BN164)</f>
        <v>0</v>
      </c>
      <c r="BO170" s="1307">
        <f t="shared" si="474"/>
        <v>7</v>
      </c>
      <c r="BQ170" s="1306">
        <f t="shared" ref="BQ170:BR170" si="475">SUM(BQ8:BQ164)</f>
        <v>0</v>
      </c>
      <c r="BR170" s="1307">
        <f t="shared" si="475"/>
        <v>4</v>
      </c>
    </row>
    <row r="171" spans="1:70">
      <c r="C171" s="1303"/>
      <c r="BB171" s="1310" t="s">
        <v>82</v>
      </c>
      <c r="BC171" s="1303"/>
      <c r="BF171" t="s">
        <v>82</v>
      </c>
    </row>
    <row r="172" spans="1:70">
      <c r="C172" s="1304" t="s">
        <v>1237</v>
      </c>
      <c r="BB172" s="12"/>
      <c r="BC172" s="1304" t="s">
        <v>1237</v>
      </c>
      <c r="BE172" s="102">
        <f>BE170+BF170</f>
        <v>24</v>
      </c>
      <c r="BH172" s="102">
        <f>BH170+BI170</f>
        <v>25</v>
      </c>
      <c r="BK172" s="102">
        <f>BK170+BL170</f>
        <v>3</v>
      </c>
      <c r="BN172" s="102">
        <f>BN170+BO170</f>
        <v>7</v>
      </c>
      <c r="BQ172" s="102">
        <f>BQ170+BR170</f>
        <v>4</v>
      </c>
    </row>
    <row r="173" spans="1:70">
      <c r="C173" s="1304" t="s">
        <v>1238</v>
      </c>
      <c r="BB173" s="12"/>
      <c r="BC173" s="1304" t="s">
        <v>1238</v>
      </c>
      <c r="BD173" s="102">
        <f>SUM(BE172:BR172)</f>
        <v>63</v>
      </c>
      <c r="BE173" s="102" t="s">
        <v>82</v>
      </c>
    </row>
    <row r="174" spans="1:70" s="12" customFormat="1">
      <c r="A174" s="799"/>
      <c r="B174" s="124"/>
      <c r="C174" s="6"/>
      <c r="D174" s="10"/>
      <c r="E174" s="135"/>
      <c r="F174" s="575"/>
      <c r="G174" s="135"/>
      <c r="H174" s="136"/>
      <c r="I174" s="140"/>
      <c r="J174" s="140"/>
      <c r="K174" s="789"/>
      <c r="L174" s="140"/>
      <c r="M174" s="140"/>
      <c r="N174" s="140"/>
      <c r="O174" s="140"/>
      <c r="P174" s="140"/>
      <c r="Q174" s="140"/>
      <c r="R174" s="127"/>
      <c r="S174" s="131"/>
      <c r="T174" s="131"/>
      <c r="U174" s="131"/>
      <c r="V174" s="131"/>
      <c r="W174" s="131"/>
      <c r="X174" s="131"/>
      <c r="Y174" s="137"/>
      <c r="Z174" s="28"/>
      <c r="AA174" s="70"/>
      <c r="AB174" s="81"/>
      <c r="AC174" s="131"/>
      <c r="AD174" s="131"/>
      <c r="AE174" s="131"/>
      <c r="AF174" s="28"/>
      <c r="AG174" s="28"/>
      <c r="AH174" s="137"/>
      <c r="AI174" s="137"/>
      <c r="AJ174" s="60"/>
      <c r="AK174" s="127"/>
      <c r="AL174" s="28"/>
      <c r="AM174" s="28"/>
      <c r="AN174" s="61"/>
      <c r="AO174" s="61"/>
      <c r="AP174" s="446"/>
      <c r="BB174"/>
      <c r="BC174" s="6"/>
    </row>
    <row r="175" spans="1:70">
      <c r="C175" s="1304" t="s">
        <v>784</v>
      </c>
      <c r="BC175" s="1304" t="s">
        <v>784</v>
      </c>
      <c r="BD175" s="102">
        <f>BE170+BH170++BK170+BN170+BQ170</f>
        <v>10</v>
      </c>
    </row>
    <row r="176" spans="1:70">
      <c r="C176" s="1305" t="s">
        <v>1239</v>
      </c>
      <c r="BB176" s="6"/>
      <c r="BC176" s="1305" t="s">
        <v>1239</v>
      </c>
      <c r="BD176" s="102">
        <f>BF170+BI170+BL170+BO170+BR170</f>
        <v>53</v>
      </c>
    </row>
    <row r="177" spans="3:56">
      <c r="C177" s="1304" t="s">
        <v>1240</v>
      </c>
      <c r="BC177" s="1304" t="s">
        <v>1240</v>
      </c>
      <c r="BD177" s="102">
        <f>SUM(BD175:BD176)</f>
        <v>63</v>
      </c>
    </row>
    <row r="178" spans="3:56">
      <c r="BB178" s="1309"/>
    </row>
    <row r="179" spans="3:56" ht="14" customHeight="1">
      <c r="BB179" s="1311" t="s">
        <v>1241</v>
      </c>
      <c r="BD179" s="1312">
        <f>BD175/BD173</f>
        <v>0.15873015873015872</v>
      </c>
    </row>
    <row r="183" spans="3:56" ht="15" customHeight="1"/>
    <row r="184" spans="3:56" ht="14" customHeight="1">
      <c r="E184" s="44"/>
      <c r="F184" s="45"/>
      <c r="G184" s="44"/>
      <c r="H184" s="48"/>
      <c r="I184" s="49"/>
      <c r="J184" s="49"/>
      <c r="K184" s="788"/>
      <c r="L184" s="49"/>
      <c r="M184" s="49"/>
      <c r="N184" s="49"/>
      <c r="O184" s="49"/>
      <c r="P184" s="49"/>
      <c r="Q184" s="49"/>
      <c r="R184" s="126"/>
      <c r="S184" s="49"/>
      <c r="T184" s="49"/>
      <c r="U184" s="49"/>
      <c r="V184" s="49"/>
      <c r="W184" s="131"/>
      <c r="X184" s="49"/>
      <c r="Y184" s="36"/>
      <c r="Z184" s="36"/>
      <c r="AA184" s="50"/>
      <c r="AB184" s="81"/>
      <c r="AC184" s="40"/>
      <c r="AD184" s="40"/>
      <c r="AE184" s="40"/>
      <c r="AF184" s="28"/>
      <c r="AG184" s="28"/>
      <c r="AH184" s="137"/>
      <c r="AI184" s="137"/>
      <c r="AJ184" s="59"/>
      <c r="AK184" s="42"/>
      <c r="AL184" s="36"/>
      <c r="AM184" s="36"/>
      <c r="AN184" s="61"/>
      <c r="AO184" s="61"/>
    </row>
    <row r="185" spans="3:56">
      <c r="E185" s="44"/>
      <c r="F185" s="45"/>
      <c r="G185" s="44"/>
      <c r="H185" s="48"/>
      <c r="I185" s="65"/>
      <c r="J185" s="65"/>
      <c r="K185" s="789"/>
      <c r="L185" s="65"/>
      <c r="M185" s="65"/>
      <c r="N185" s="65"/>
      <c r="O185" s="65"/>
      <c r="P185" s="65"/>
      <c r="Q185" s="65"/>
      <c r="R185" s="126"/>
      <c r="S185" s="49"/>
      <c r="T185" s="49"/>
      <c r="U185" s="49"/>
      <c r="V185" s="49"/>
      <c r="W185" s="131"/>
      <c r="X185" s="49"/>
      <c r="Y185" s="36"/>
      <c r="Z185" s="36"/>
      <c r="AA185" s="50"/>
      <c r="AB185" s="81"/>
      <c r="AC185" s="40"/>
      <c r="AD185" s="40"/>
      <c r="AE185" s="40"/>
      <c r="AF185" s="28"/>
      <c r="AG185" s="28"/>
      <c r="AH185" s="137"/>
      <c r="AI185" s="137"/>
      <c r="AJ185" s="59"/>
      <c r="AK185" s="42"/>
      <c r="AL185" s="36"/>
      <c r="AM185" s="36"/>
      <c r="AN185" s="61"/>
      <c r="AO185" s="61"/>
    </row>
    <row r="186" spans="3:56">
      <c r="E186" s="44"/>
      <c r="F186" s="45"/>
      <c r="G186" s="44"/>
      <c r="H186" s="48"/>
      <c r="I186" s="65"/>
      <c r="J186" s="65"/>
      <c r="K186" s="789"/>
      <c r="L186" s="65"/>
      <c r="M186" s="65"/>
      <c r="N186" s="65"/>
      <c r="O186" s="65"/>
      <c r="P186" s="65"/>
      <c r="Q186" s="65"/>
      <c r="R186" s="126"/>
      <c r="S186" s="49"/>
      <c r="T186" s="49"/>
      <c r="U186" s="49"/>
      <c r="V186" s="49"/>
      <c r="W186" s="131"/>
      <c r="X186" s="49"/>
      <c r="Y186" s="36"/>
      <c r="Z186" s="36"/>
      <c r="AA186" s="50"/>
      <c r="AB186" s="81"/>
      <c r="AC186" s="40"/>
      <c r="AD186" s="40"/>
      <c r="AE186" s="40"/>
      <c r="AF186" s="28"/>
      <c r="AG186" s="28"/>
      <c r="AH186" s="137"/>
      <c r="AI186" s="137"/>
      <c r="AJ186" s="59"/>
      <c r="AK186" s="42"/>
      <c r="AL186" s="36"/>
      <c r="AM186" s="36"/>
      <c r="AN186" s="61"/>
      <c r="AO186" s="61"/>
    </row>
    <row r="187" spans="3:56">
      <c r="E187" s="44"/>
      <c r="F187" s="45"/>
      <c r="G187" s="44"/>
      <c r="H187" s="48"/>
      <c r="I187" s="65"/>
      <c r="J187" s="65"/>
      <c r="K187" s="789"/>
      <c r="L187" s="65"/>
      <c r="M187" s="65"/>
      <c r="N187" s="65"/>
      <c r="O187" s="65"/>
      <c r="P187" s="65"/>
      <c r="Q187" s="65"/>
      <c r="R187" s="126"/>
      <c r="S187" s="49"/>
      <c r="T187" s="49"/>
      <c r="U187" s="49"/>
      <c r="V187" s="49"/>
      <c r="W187" s="131"/>
      <c r="X187" s="49"/>
      <c r="Y187" s="36"/>
      <c r="Z187" s="36"/>
      <c r="AA187" s="50"/>
      <c r="AB187" s="81"/>
      <c r="AC187" s="40"/>
      <c r="AD187" s="40"/>
      <c r="AE187" s="40"/>
      <c r="AF187" s="28"/>
      <c r="AG187" s="28"/>
      <c r="AH187" s="137"/>
      <c r="AI187" s="137"/>
      <c r="AJ187" s="59"/>
      <c r="AK187" s="49"/>
      <c r="AL187" s="36"/>
      <c r="AM187" s="36"/>
      <c r="AN187" s="61"/>
      <c r="AO187" s="61"/>
    </row>
    <row r="188" spans="3:56">
      <c r="E188" s="44"/>
      <c r="F188" s="45"/>
      <c r="G188" s="44"/>
      <c r="H188" s="48"/>
      <c r="I188" s="62"/>
      <c r="J188" s="62"/>
      <c r="K188" s="792"/>
      <c r="L188" s="62"/>
      <c r="M188" s="62"/>
      <c r="N188" s="62"/>
      <c r="O188" s="62"/>
      <c r="P188" s="62"/>
      <c r="Q188" s="62"/>
      <c r="R188" s="126"/>
      <c r="S188" s="49"/>
      <c r="T188" s="49"/>
      <c r="U188" s="49"/>
      <c r="V188" s="49"/>
      <c r="W188" s="131"/>
      <c r="X188" s="49"/>
      <c r="Y188" s="36"/>
      <c r="Z188" s="36"/>
      <c r="AA188" s="50"/>
      <c r="AB188" s="81"/>
      <c r="AC188" s="40"/>
      <c r="AD188" s="40"/>
      <c r="AE188" s="40"/>
      <c r="AF188" s="28"/>
      <c r="AG188" s="28"/>
      <c r="AH188" s="137"/>
      <c r="AI188" s="137"/>
      <c r="AJ188" s="66"/>
      <c r="AK188" s="49"/>
      <c r="AL188" s="36"/>
      <c r="AM188" s="36"/>
      <c r="AN188" s="61"/>
      <c r="AO188" s="61"/>
    </row>
    <row r="189" spans="3:56">
      <c r="E189" s="44"/>
      <c r="F189" s="45"/>
      <c r="G189" s="44"/>
      <c r="H189" s="48"/>
      <c r="I189" s="62"/>
      <c r="J189" s="62"/>
      <c r="K189" s="792"/>
      <c r="L189" s="62"/>
      <c r="M189" s="62"/>
      <c r="N189" s="62"/>
      <c r="O189" s="62"/>
      <c r="P189" s="62"/>
      <c r="Q189" s="62"/>
      <c r="R189" s="126"/>
      <c r="S189" s="49"/>
      <c r="T189" s="49"/>
      <c r="U189" s="49"/>
      <c r="V189" s="49"/>
      <c r="W189" s="131"/>
      <c r="X189" s="49"/>
      <c r="Y189" s="36"/>
      <c r="Z189" s="36"/>
      <c r="AA189" s="50"/>
      <c r="AB189" s="81"/>
      <c r="AC189" s="40"/>
      <c r="AD189" s="40"/>
      <c r="AE189" s="40"/>
      <c r="AF189" s="28"/>
      <c r="AG189" s="28"/>
      <c r="AH189" s="137"/>
      <c r="AI189" s="137"/>
      <c r="AJ189" s="36"/>
      <c r="AK189" s="36"/>
      <c r="AL189" s="36"/>
      <c r="AM189" s="36"/>
      <c r="AN189" s="61"/>
      <c r="AO189" s="61"/>
    </row>
    <row r="190" spans="3:56">
      <c r="E190" s="44"/>
      <c r="F190" s="45"/>
      <c r="G190" s="44"/>
      <c r="H190" s="48"/>
      <c r="I190" s="62"/>
      <c r="J190" s="62"/>
      <c r="K190" s="792"/>
      <c r="L190" s="62"/>
      <c r="M190" s="62"/>
      <c r="N190" s="62"/>
      <c r="O190" s="62"/>
      <c r="P190" s="62"/>
      <c r="Q190" s="62"/>
      <c r="R190" s="126"/>
      <c r="S190" s="49"/>
      <c r="T190" s="49"/>
      <c r="U190" s="49"/>
      <c r="V190" s="49"/>
      <c r="W190" s="131"/>
      <c r="X190" s="49"/>
      <c r="Y190" s="36"/>
      <c r="Z190" s="36"/>
      <c r="AA190" s="50"/>
      <c r="AB190" s="81"/>
      <c r="AC190" s="40"/>
      <c r="AD190" s="40"/>
      <c r="AE190" s="40"/>
      <c r="AF190" s="28"/>
      <c r="AG190" s="28"/>
      <c r="AH190" s="137"/>
      <c r="AI190" s="137"/>
      <c r="AJ190" s="36"/>
      <c r="AK190" s="36"/>
      <c r="AL190" s="36"/>
      <c r="AM190" s="36"/>
      <c r="AN190" s="61"/>
      <c r="AO190" s="61"/>
    </row>
    <row r="191" spans="3:56">
      <c r="AC191" s="40"/>
      <c r="AD191" s="40"/>
      <c r="AE191" s="40"/>
    </row>
    <row r="192" spans="3:56">
      <c r="AC192" s="40"/>
      <c r="AD192" s="40"/>
      <c r="AE192" s="40"/>
    </row>
  </sheetData>
  <mergeCells count="159">
    <mergeCell ref="AI135:AN135"/>
    <mergeCell ref="AI158:AN158"/>
    <mergeCell ref="C146:AJ146"/>
    <mergeCell ref="D147:I147"/>
    <mergeCell ref="J147:Q147"/>
    <mergeCell ref="R147:S147"/>
    <mergeCell ref="T147:X147"/>
    <mergeCell ref="Y147:Z147"/>
    <mergeCell ref="AC147:AE147"/>
    <mergeCell ref="AF147:AG147"/>
    <mergeCell ref="AI147:AN147"/>
    <mergeCell ref="T135:X135"/>
    <mergeCell ref="Y135:Z135"/>
    <mergeCell ref="J135:Q135"/>
    <mergeCell ref="R135:S135"/>
    <mergeCell ref="C157:AJ157"/>
    <mergeCell ref="D143:E143"/>
    <mergeCell ref="AC158:AE158"/>
    <mergeCell ref="A2:A3"/>
    <mergeCell ref="B2:B3"/>
    <mergeCell ref="AQ37:AQ47"/>
    <mergeCell ref="L37:L47"/>
    <mergeCell ref="N37:N47"/>
    <mergeCell ref="M37:M47"/>
    <mergeCell ref="O37:O47"/>
    <mergeCell ref="U37:U47"/>
    <mergeCell ref="J29:Q29"/>
    <mergeCell ref="R29:S29"/>
    <mergeCell ref="T29:X29"/>
    <mergeCell ref="Y29:Z29"/>
    <mergeCell ref="AC29:AE29"/>
    <mergeCell ref="AF29:AG29"/>
    <mergeCell ref="AC37:AC47"/>
    <mergeCell ref="AG37:AG47"/>
    <mergeCell ref="AJ37:AJ47"/>
    <mergeCell ref="AK37:AK47"/>
    <mergeCell ref="AN37:AN40"/>
    <mergeCell ref="C37:C47"/>
    <mergeCell ref="D37:E47"/>
    <mergeCell ref="F37:F47"/>
    <mergeCell ref="I37:I47"/>
    <mergeCell ref="C2:AO2"/>
    <mergeCell ref="AF17:AG17"/>
    <mergeCell ref="AB37:AB47"/>
    <mergeCell ref="C4:AJ4"/>
    <mergeCell ref="D5:I5"/>
    <mergeCell ref="AC5:AE5"/>
    <mergeCell ref="AF5:AG5"/>
    <mergeCell ref="D3:I3"/>
    <mergeCell ref="T5:X5"/>
    <mergeCell ref="J5:Q5"/>
    <mergeCell ref="R5:S5"/>
    <mergeCell ref="AI3:AO3"/>
    <mergeCell ref="J3:S3"/>
    <mergeCell ref="G37:G47"/>
    <mergeCell ref="S37:S47"/>
    <mergeCell ref="V37:V47"/>
    <mergeCell ref="W37:W47"/>
    <mergeCell ref="Z37:Z47"/>
    <mergeCell ref="J17:Q17"/>
    <mergeCell ref="T17:X17"/>
    <mergeCell ref="D25:E25"/>
    <mergeCell ref="R17:S17"/>
    <mergeCell ref="D165:E165"/>
    <mergeCell ref="C134:AJ134"/>
    <mergeCell ref="AF135:AG135"/>
    <mergeCell ref="C74:AL74"/>
    <mergeCell ref="D84:E84"/>
    <mergeCell ref="Y88:Z88"/>
    <mergeCell ref="C87:AJ87"/>
    <mergeCell ref="J100:Q100"/>
    <mergeCell ref="Y75:Z75"/>
    <mergeCell ref="AF123:AG123"/>
    <mergeCell ref="AC75:AE75"/>
    <mergeCell ref="J88:Q88"/>
    <mergeCell ref="AF75:AG75"/>
    <mergeCell ref="D75:I75"/>
    <mergeCell ref="J75:Q75"/>
    <mergeCell ref="D108:E108"/>
    <mergeCell ref="AI75:AN75"/>
    <mergeCell ref="AI88:AN88"/>
    <mergeCell ref="AI100:AN100"/>
    <mergeCell ref="AI112:AN112"/>
    <mergeCell ref="AI123:AN123"/>
    <mergeCell ref="AC135:AE135"/>
    <mergeCell ref="AC123:AE123"/>
    <mergeCell ref="C122:AJ122"/>
    <mergeCell ref="J123:Q123"/>
    <mergeCell ref="D123:I123"/>
    <mergeCell ref="C111:AJ111"/>
    <mergeCell ref="Y123:Z123"/>
    <mergeCell ref="R123:S123"/>
    <mergeCell ref="C50:AG50"/>
    <mergeCell ref="J51:Q51"/>
    <mergeCell ref="AF51:AG51"/>
    <mergeCell ref="AI51:AN51"/>
    <mergeCell ref="D71:E71"/>
    <mergeCell ref="C62:AG62"/>
    <mergeCell ref="D63:I63"/>
    <mergeCell ref="R75:S75"/>
    <mergeCell ref="T75:X75"/>
    <mergeCell ref="AF88:AG88"/>
    <mergeCell ref="AC100:AE100"/>
    <mergeCell ref="AC88:AE88"/>
    <mergeCell ref="T88:X88"/>
    <mergeCell ref="C99:AJ99"/>
    <mergeCell ref="D96:E96"/>
    <mergeCell ref="D88:I88"/>
    <mergeCell ref="R88:S88"/>
    <mergeCell ref="J63:Q63"/>
    <mergeCell ref="R63:S63"/>
    <mergeCell ref="C1:AO1"/>
    <mergeCell ref="R158:S158"/>
    <mergeCell ref="AF158:AG158"/>
    <mergeCell ref="T158:X158"/>
    <mergeCell ref="D158:I158"/>
    <mergeCell ref="AC112:AE112"/>
    <mergeCell ref="Y100:Z100"/>
    <mergeCell ref="D100:I100"/>
    <mergeCell ref="R100:S100"/>
    <mergeCell ref="J158:Q158"/>
    <mergeCell ref="Y158:Z158"/>
    <mergeCell ref="AF112:AG112"/>
    <mergeCell ref="AF100:AG100"/>
    <mergeCell ref="R112:S112"/>
    <mergeCell ref="D112:I112"/>
    <mergeCell ref="Y112:Z112"/>
    <mergeCell ref="J112:Q112"/>
    <mergeCell ref="T112:X112"/>
    <mergeCell ref="T100:X100"/>
    <mergeCell ref="D135:I135"/>
    <mergeCell ref="D119:E119"/>
    <mergeCell ref="D131:E131"/>
    <mergeCell ref="D154:E154"/>
    <mergeCell ref="T123:X123"/>
    <mergeCell ref="T63:X63"/>
    <mergeCell ref="Y63:Z63"/>
    <mergeCell ref="AC63:AE63"/>
    <mergeCell ref="AF63:AG63"/>
    <mergeCell ref="AI29:AN29"/>
    <mergeCell ref="AI17:AN17"/>
    <mergeCell ref="AI5:AN5"/>
    <mergeCell ref="C28:AJ28"/>
    <mergeCell ref="D29:I29"/>
    <mergeCell ref="D59:E59"/>
    <mergeCell ref="P37:P47"/>
    <mergeCell ref="AI37:AI41"/>
    <mergeCell ref="D51:I51"/>
    <mergeCell ref="AC51:AE51"/>
    <mergeCell ref="Y51:Z51"/>
    <mergeCell ref="R51:S51"/>
    <mergeCell ref="T51:X51"/>
    <mergeCell ref="AI63:AN63"/>
    <mergeCell ref="D17:I17"/>
    <mergeCell ref="AC17:AE17"/>
    <mergeCell ref="D13:E13"/>
    <mergeCell ref="Y5:Z5"/>
    <mergeCell ref="Y17:Z17"/>
    <mergeCell ref="C16:AJ16"/>
  </mergeCells>
  <phoneticPr fontId="54" type="noConversion"/>
  <hyperlinks>
    <hyperlink ref="G96" r:id="rId1" display="The 15% uplift is reasonable given recent findings that Americans lose 0%-30% of their daily commute on road traffic delays, while mathematically less would be lost on trips over 50miles. See: http://abcnews.go.com/US/time-americans-waste-traffic/story?id" xr:uid="{00000000-0004-0000-0100-000008000000}"/>
    <hyperlink ref="G108" r:id="rId2" display="The 15% uplift is reasonable given recent findings that Americans lose 0%-30% of their daily commute on road traffic delays, while mathematically less would be lost on trips over 50miles. See: http://abcnews.go.com/US/time-americans-waste-traffic/story?id" xr:uid="{25E98B4C-3EA7-DD41-B927-A6CFC9C914D8}"/>
    <hyperlink ref="G119" r:id="rId3" display="The 15% uplift is reasonable given recent findings that Americans lose 0%-30% of their daily commute on road traffic delays, while mathematically less would be lost on trips over 50miles. See: http://abcnews.go.com/US/time-americans-waste-traffic/story?id" xr:uid="{940C1D4B-927F-5741-A270-E4E833EFFE61}"/>
    <hyperlink ref="G131" r:id="rId4" display="The 15% uplift is reasonable given recent findings that Americans lose 0%-30% of their daily commute on road traffic delays, while mathematically less would be lost on trips over 50miles. See: http://abcnews.go.com/US/time-americans-waste-traffic/story?id" xr:uid="{CCA4914B-5EFA-6A49-BCF4-4F82BCFDD9F7}"/>
    <hyperlink ref="G143" r:id="rId5" display="The 15% uplift is reasonable given recent findings that Americans lose 0%-30% of their daily commute on road traffic delays, while mathematically less would be lost on trips over 50miles. See: http://abcnews.go.com/US/time-americans-waste-traffic/story?id" xr:uid="{B2ABEDF9-3AA1-7A43-83B8-DF5231043B8C}"/>
    <hyperlink ref="G154" r:id="rId6" display="The 15% uplift is reasonable given recent findings that Americans lose 0%-30% of their daily commute on road traffic delays, while mathematically less would be lost on trips over 50miles. See: http://abcnews.go.com/US/time-americans-waste-traffic/story?id" xr:uid="{8A04F7F3-BBC0-1E48-98DB-9A87657EC269}"/>
    <hyperlink ref="G165" r:id="rId7" display="The 15% uplift is reasonable given recent findings that Americans lose 0%-30% of their daily commute on road traffic delays, while mathematically less would be lost on trips over 50miles. See: http://abcnews.go.com/US/time-americans-waste-traffic/story?id" xr:uid="{7C889C81-A90E-B044-BDAA-5D9F79AEFE5E}"/>
  </hyperlinks>
  <pageMargins left="0.75" right="0.75" top="1" bottom="1" header="0.5" footer="0.5"/>
  <pageSetup orientation="portrait" horizontalDpi="4294967292" verticalDpi="4294967292" r:id="rId8"/>
  <drawing r:id="rId9"/>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338"/>
  <sheetViews>
    <sheetView topLeftCell="AF1" zoomScaleNormal="100" zoomScalePageLayoutView="135" workbookViewId="0">
      <selection activeCell="BE5" sqref="BE5"/>
    </sheetView>
  </sheetViews>
  <sheetFormatPr baseColWidth="10" defaultColWidth="11" defaultRowHeight="16"/>
  <cols>
    <col min="2" max="2" width="8.1640625" style="124" customWidth="1"/>
    <col min="3" max="3" width="31.5" customWidth="1"/>
    <col min="4" max="4" width="11.33203125" customWidth="1"/>
    <col min="5" max="5" width="9.5" customWidth="1"/>
    <col min="6" max="6" width="10.83203125" customWidth="1"/>
    <col min="7" max="7" width="11.5" customWidth="1"/>
    <col min="8" max="8" width="10.83203125" customWidth="1"/>
    <col min="9" max="9" width="18.83203125" customWidth="1"/>
    <col min="10" max="10" width="8.6640625" customWidth="1"/>
    <col min="11" max="11" width="9.83203125" customWidth="1"/>
    <col min="12" max="12" width="9.33203125" customWidth="1"/>
    <col min="13" max="13" width="8.1640625" customWidth="1"/>
    <col min="14" max="14" width="8" customWidth="1"/>
    <col min="15" max="15" width="8.5" customWidth="1"/>
    <col min="16" max="16" width="8.1640625" customWidth="1"/>
    <col min="17" max="17" width="7.83203125" customWidth="1"/>
    <col min="18" max="18" width="9" customWidth="1"/>
    <col min="19" max="19" width="12.83203125" customWidth="1"/>
    <col min="20" max="20" width="9.33203125" customWidth="1"/>
    <col min="21" max="21" width="8.83203125" customWidth="1"/>
    <col min="22" max="23" width="9.6640625" customWidth="1"/>
    <col min="24" max="24" width="10.33203125" customWidth="1"/>
    <col min="25" max="25" width="9.6640625" customWidth="1"/>
    <col min="26" max="26" width="20.33203125" customWidth="1"/>
    <col min="27" max="27" width="8.1640625" customWidth="1"/>
    <col min="28" max="28" width="10" style="83" customWidth="1"/>
    <col min="29" max="29" width="12.5" customWidth="1"/>
    <col min="30" max="30" width="9.1640625" customWidth="1"/>
    <col min="31" max="31" width="13.6640625" customWidth="1"/>
    <col min="32" max="32" width="10.1640625" customWidth="1"/>
    <col min="33" max="33" width="20.33203125" customWidth="1"/>
    <col min="34" max="34" width="8.6640625" customWidth="1"/>
    <col min="35" max="35" width="9.33203125" style="23" customWidth="1"/>
    <col min="36" max="36" width="11" customWidth="1"/>
    <col min="37" max="37" width="10.83203125" customWidth="1"/>
    <col min="38" max="38" width="10.83203125" style="103" customWidth="1"/>
    <col min="39" max="39" width="12.6640625" style="103" customWidth="1"/>
    <col min="40" max="40" width="10.33203125" style="12" customWidth="1"/>
    <col min="41" max="41" width="9.1640625" style="12" customWidth="1"/>
    <col min="42" max="42" width="0.83203125" style="445" customWidth="1"/>
    <col min="43" max="43" width="44.5" style="103" customWidth="1"/>
    <col min="44" max="44" width="8" style="103" customWidth="1"/>
    <col min="45" max="45" width="8" customWidth="1"/>
    <col min="46" max="46" width="10" customWidth="1"/>
    <col min="47" max="47" width="8.83203125" customWidth="1"/>
    <col min="48" max="48" width="9.33203125" customWidth="1"/>
    <col min="49" max="49" width="8.5" customWidth="1"/>
  </cols>
  <sheetData>
    <row r="1" spans="1:57" ht="26" customHeight="1">
      <c r="A1" s="1339" t="s">
        <v>330</v>
      </c>
      <c r="B1" s="1344" t="s">
        <v>336</v>
      </c>
      <c r="C1" s="1356" t="s">
        <v>148</v>
      </c>
      <c r="D1" s="1356"/>
      <c r="E1" s="1356"/>
      <c r="F1" s="1356"/>
      <c r="G1" s="1356"/>
      <c r="H1" s="1356"/>
      <c r="I1" s="1356"/>
      <c r="J1" s="1356"/>
      <c r="K1" s="1356"/>
      <c r="L1" s="1356"/>
      <c r="M1" s="1356"/>
      <c r="N1" s="1356"/>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3"/>
      <c r="AL1" s="1553"/>
      <c r="AM1" s="1553"/>
      <c r="AN1" s="1553"/>
      <c r="AO1" s="1553"/>
    </row>
    <row r="2" spans="1:57" s="283" customFormat="1" ht="23" customHeight="1">
      <c r="A2" s="1340"/>
      <c r="B2" s="1345"/>
      <c r="C2" s="282" t="s">
        <v>773</v>
      </c>
      <c r="D2" s="282"/>
      <c r="AB2" s="284"/>
      <c r="AI2" s="916"/>
      <c r="AN2" s="284"/>
      <c r="AO2" s="284"/>
      <c r="AP2" s="1173"/>
    </row>
    <row r="3" spans="1:57" s="779" customFormat="1" ht="26" customHeight="1">
      <c r="B3" s="1542" t="s">
        <v>324</v>
      </c>
      <c r="C3" s="1543"/>
      <c r="D3" s="1544" t="s">
        <v>791</v>
      </c>
      <c r="E3" s="1545"/>
      <c r="F3" s="1545"/>
      <c r="G3" s="1545"/>
      <c r="H3" s="1545"/>
      <c r="I3" s="1545"/>
      <c r="J3" s="1476" t="s">
        <v>329</v>
      </c>
      <c r="K3" s="1469"/>
      <c r="L3" s="1469"/>
      <c r="M3" s="1469"/>
      <c r="N3" s="1469"/>
      <c r="O3" s="1469"/>
      <c r="P3" s="1469"/>
      <c r="Q3" s="1469"/>
      <c r="R3" s="1345"/>
      <c r="S3" s="1345"/>
      <c r="T3" s="777"/>
      <c r="U3" s="777"/>
      <c r="V3" s="777"/>
      <c r="W3" s="777"/>
      <c r="X3" s="777"/>
      <c r="Y3" s="777"/>
      <c r="Z3" s="777"/>
      <c r="AA3" s="777"/>
      <c r="AB3" s="777"/>
      <c r="AC3" s="777"/>
      <c r="AD3" s="777"/>
      <c r="AE3" s="777"/>
      <c r="AF3" s="777"/>
      <c r="AG3" s="777"/>
      <c r="AH3" s="777"/>
      <c r="AI3" s="1474" t="s">
        <v>790</v>
      </c>
      <c r="AJ3" s="1475"/>
      <c r="AK3" s="1475"/>
      <c r="AL3" s="1475"/>
      <c r="AM3" s="1475"/>
      <c r="AN3" s="1475"/>
      <c r="AO3" s="1475"/>
      <c r="AP3" s="778"/>
    </row>
    <row r="4" spans="1:57">
      <c r="B4" s="337" t="s">
        <v>29</v>
      </c>
      <c r="C4" s="1568"/>
      <c r="D4" s="1568"/>
      <c r="E4" s="1568"/>
      <c r="F4" s="1568"/>
      <c r="G4" s="1568"/>
      <c r="H4" s="1568"/>
      <c r="I4" s="1568"/>
      <c r="J4" s="1568"/>
      <c r="K4" s="1568"/>
      <c r="L4" s="1568"/>
      <c r="M4" s="1568"/>
      <c r="N4" s="1568"/>
      <c r="O4" s="1568"/>
      <c r="P4" s="1568"/>
      <c r="Q4" s="1568"/>
      <c r="R4" s="1568"/>
      <c r="S4" s="1568"/>
      <c r="T4" s="1407"/>
      <c r="U4" s="1407"/>
      <c r="V4" s="1407"/>
      <c r="W4" s="1407"/>
      <c r="X4" s="1407"/>
      <c r="Y4" s="1407"/>
      <c r="Z4" s="1407"/>
      <c r="AA4" s="1407"/>
      <c r="AB4" s="1407"/>
      <c r="AC4" s="1407"/>
      <c r="AD4" s="1407"/>
      <c r="AE4" s="1407"/>
      <c r="AF4" s="1407"/>
      <c r="AG4" s="1407"/>
      <c r="AH4" s="1407"/>
      <c r="AI4" s="917"/>
      <c r="AJ4" s="24"/>
      <c r="AK4" s="24"/>
      <c r="AL4" s="104"/>
      <c r="AM4" s="104"/>
      <c r="AN4" s="56"/>
      <c r="AO4" s="56"/>
      <c r="AP4" s="446"/>
      <c r="AU4" s="102"/>
      <c r="BE4" s="980" t="s">
        <v>783</v>
      </c>
    </row>
    <row r="5" spans="1:57" s="1122" customFormat="1" ht="30" customHeight="1">
      <c r="B5" s="1116"/>
      <c r="C5" s="1117" t="s">
        <v>116</v>
      </c>
      <c r="D5" s="1449" t="s">
        <v>28</v>
      </c>
      <c r="E5" s="1450"/>
      <c r="F5" s="1450"/>
      <c r="G5" s="1450"/>
      <c r="H5" s="1450"/>
      <c r="I5" s="1451"/>
      <c r="J5" s="1439" t="s">
        <v>106</v>
      </c>
      <c r="K5" s="1442"/>
      <c r="L5" s="1442"/>
      <c r="M5" s="1442"/>
      <c r="N5" s="1442"/>
      <c r="O5" s="1442"/>
      <c r="P5" s="1442"/>
      <c r="Q5" s="1442"/>
      <c r="R5" s="1432" t="s">
        <v>22</v>
      </c>
      <c r="S5" s="1433"/>
      <c r="T5" s="1409" t="s">
        <v>136</v>
      </c>
      <c r="U5" s="1410"/>
      <c r="V5" s="1410"/>
      <c r="W5" s="1410"/>
      <c r="X5" s="1410"/>
      <c r="Y5" s="1411" t="s">
        <v>126</v>
      </c>
      <c r="Z5" s="1412"/>
      <c r="AA5" s="1144"/>
      <c r="AB5" s="1145"/>
      <c r="AC5" s="1526" t="s">
        <v>101</v>
      </c>
      <c r="AD5" s="1527"/>
      <c r="AE5" s="1527"/>
      <c r="AF5" s="1584" t="s">
        <v>23</v>
      </c>
      <c r="AG5" s="1642"/>
      <c r="AH5" s="1118"/>
      <c r="AI5" s="1131"/>
      <c r="AJ5" s="1554" t="s">
        <v>25</v>
      </c>
      <c r="AK5" s="1554"/>
      <c r="AL5" s="1554"/>
      <c r="AM5" s="1554"/>
      <c r="AN5" s="1555"/>
      <c r="AO5" s="1120"/>
      <c r="AP5" s="1121"/>
      <c r="AQ5" s="1147"/>
      <c r="AR5" s="1147"/>
      <c r="AU5" s="1169"/>
      <c r="AV5" s="1317" t="s">
        <v>82</v>
      </c>
      <c r="BE5" s="981" t="s">
        <v>784</v>
      </c>
    </row>
    <row r="6" spans="1:57" s="910" customFormat="1" ht="19" customHeight="1">
      <c r="B6" s="124"/>
      <c r="C6" s="507"/>
      <c r="D6" s="358">
        <v>1</v>
      </c>
      <c r="E6" s="117">
        <f t="shared" ref="E6:AO6" si="0">D6+1</f>
        <v>2</v>
      </c>
      <c r="F6" s="117">
        <f t="shared" si="0"/>
        <v>3</v>
      </c>
      <c r="G6" s="117">
        <f>F6+1</f>
        <v>4</v>
      </c>
      <c r="H6" s="117">
        <f>G6+1</f>
        <v>5</v>
      </c>
      <c r="I6" s="117">
        <f>H6+1</f>
        <v>6</v>
      </c>
      <c r="J6" s="358">
        <f t="shared" si="0"/>
        <v>7</v>
      </c>
      <c r="K6" s="117">
        <f t="shared" si="0"/>
        <v>8</v>
      </c>
      <c r="L6" s="117">
        <f t="shared" si="0"/>
        <v>9</v>
      </c>
      <c r="M6" s="117">
        <f t="shared" si="0"/>
        <v>10</v>
      </c>
      <c r="N6" s="117">
        <f t="shared" si="0"/>
        <v>11</v>
      </c>
      <c r="O6" s="117">
        <f t="shared" si="0"/>
        <v>12</v>
      </c>
      <c r="P6" s="117">
        <f t="shared" si="0"/>
        <v>13</v>
      </c>
      <c r="Q6" s="117">
        <f t="shared" si="0"/>
        <v>14</v>
      </c>
      <c r="R6" s="358">
        <f>Q6+1</f>
        <v>15</v>
      </c>
      <c r="S6" s="359">
        <f t="shared" si="0"/>
        <v>16</v>
      </c>
      <c r="T6" s="358">
        <f t="shared" si="0"/>
        <v>17</v>
      </c>
      <c r="U6" s="117">
        <f t="shared" si="0"/>
        <v>18</v>
      </c>
      <c r="V6" s="117">
        <f t="shared" si="0"/>
        <v>19</v>
      </c>
      <c r="W6" s="117">
        <f>V6+1</f>
        <v>20</v>
      </c>
      <c r="X6" s="117">
        <f>W6+1</f>
        <v>21</v>
      </c>
      <c r="Y6" s="358">
        <f>X6+1</f>
        <v>22</v>
      </c>
      <c r="Z6" s="359">
        <f t="shared" si="0"/>
        <v>23</v>
      </c>
      <c r="AA6" s="358">
        <f t="shared" si="0"/>
        <v>24</v>
      </c>
      <c r="AB6" s="359">
        <f t="shared" si="0"/>
        <v>25</v>
      </c>
      <c r="AC6" s="358">
        <f t="shared" si="0"/>
        <v>26</v>
      </c>
      <c r="AD6" s="117">
        <f t="shared" si="0"/>
        <v>27</v>
      </c>
      <c r="AE6" s="358">
        <f t="shared" si="0"/>
        <v>28</v>
      </c>
      <c r="AF6" s="358">
        <f t="shared" si="0"/>
        <v>29</v>
      </c>
      <c r="AG6" s="117">
        <f t="shared" si="0"/>
        <v>30</v>
      </c>
      <c r="AH6" s="358">
        <f t="shared" si="0"/>
        <v>31</v>
      </c>
      <c r="AI6" s="358">
        <f>AH6+1</f>
        <v>32</v>
      </c>
      <c r="AJ6" s="117">
        <f>AI6+1</f>
        <v>33</v>
      </c>
      <c r="AK6" s="117">
        <f t="shared" si="0"/>
        <v>34</v>
      </c>
      <c r="AL6" s="117">
        <f t="shared" si="0"/>
        <v>35</v>
      </c>
      <c r="AM6" s="117">
        <f>AL6+1</f>
        <v>36</v>
      </c>
      <c r="AN6" s="359">
        <f>AM6+1</f>
        <v>37</v>
      </c>
      <c r="AO6" s="359">
        <f t="shared" si="0"/>
        <v>38</v>
      </c>
      <c r="AP6" s="936"/>
      <c r="AQ6" s="911"/>
      <c r="AR6" s="911"/>
      <c r="AU6" s="912"/>
      <c r="BE6" s="982" t="s">
        <v>785</v>
      </c>
    </row>
    <row r="7" spans="1:57" ht="129" customHeight="1">
      <c r="B7" s="335"/>
      <c r="C7" s="1168" t="s">
        <v>960</v>
      </c>
      <c r="D7" s="1026" t="s">
        <v>634</v>
      </c>
      <c r="E7" s="1025" t="s">
        <v>505</v>
      </c>
      <c r="F7" s="1025" t="s">
        <v>407</v>
      </c>
      <c r="G7" s="1025" t="s">
        <v>408</v>
      </c>
      <c r="H7" s="418" t="s">
        <v>409</v>
      </c>
      <c r="I7" s="820" t="s">
        <v>410</v>
      </c>
      <c r="J7" s="1026" t="s">
        <v>528</v>
      </c>
      <c r="K7" s="1025" t="s">
        <v>961</v>
      </c>
      <c r="L7" s="1025" t="s">
        <v>509</v>
      </c>
      <c r="M7" s="1025" t="s">
        <v>510</v>
      </c>
      <c r="N7" s="1025" t="s">
        <v>511</v>
      </c>
      <c r="O7" s="1025" t="s">
        <v>512</v>
      </c>
      <c r="P7" s="1025" t="s">
        <v>513</v>
      </c>
      <c r="Q7" s="1027" t="s">
        <v>635</v>
      </c>
      <c r="R7" s="179" t="s">
        <v>447</v>
      </c>
      <c r="S7" s="322" t="s">
        <v>448</v>
      </c>
      <c r="T7" s="1030" t="s">
        <v>516</v>
      </c>
      <c r="U7" s="819" t="s">
        <v>636</v>
      </c>
      <c r="V7" s="819" t="s">
        <v>637</v>
      </c>
      <c r="W7" s="819" t="s">
        <v>518</v>
      </c>
      <c r="X7" s="819" t="s">
        <v>638</v>
      </c>
      <c r="Y7" s="175" t="s">
        <v>425</v>
      </c>
      <c r="Z7" s="545" t="s">
        <v>520</v>
      </c>
      <c r="AA7" s="819" t="s">
        <v>427</v>
      </c>
      <c r="AB7" s="819" t="s">
        <v>428</v>
      </c>
      <c r="AC7" s="1026" t="s">
        <v>429</v>
      </c>
      <c r="AD7" s="819" t="s">
        <v>967</v>
      </c>
      <c r="AE7" s="819" t="s">
        <v>431</v>
      </c>
      <c r="AF7" s="154" t="s">
        <v>432</v>
      </c>
      <c r="AG7" s="568" t="s">
        <v>639</v>
      </c>
      <c r="AH7" s="819" t="s">
        <v>434</v>
      </c>
      <c r="AI7" s="1087" t="s">
        <v>346</v>
      </c>
      <c r="AJ7" s="1055" t="s">
        <v>435</v>
      </c>
      <c r="AK7" s="1172" t="s">
        <v>0</v>
      </c>
      <c r="AL7" s="1056" t="s">
        <v>970</v>
      </c>
      <c r="AM7" s="819" t="s">
        <v>402</v>
      </c>
      <c r="AN7" s="820" t="s">
        <v>343</v>
      </c>
      <c r="AO7" s="470" t="s">
        <v>640</v>
      </c>
      <c r="AP7" s="446"/>
      <c r="AQ7" s="1168" t="s">
        <v>960</v>
      </c>
      <c r="AR7" s="418" t="s">
        <v>438</v>
      </c>
      <c r="AS7" s="418" t="s">
        <v>439</v>
      </c>
      <c r="AT7" s="361" t="s">
        <v>440</v>
      </c>
      <c r="AU7" s="861" t="s">
        <v>403</v>
      </c>
      <c r="AV7" s="861" t="s">
        <v>746</v>
      </c>
      <c r="BE7" s="978" t="s">
        <v>779</v>
      </c>
    </row>
    <row r="8" spans="1:57" s="280" customFormat="1" ht="14" customHeight="1">
      <c r="A8" s="814">
        <v>1</v>
      </c>
      <c r="B8" s="780">
        <v>1</v>
      </c>
      <c r="C8" s="271" t="s">
        <v>337</v>
      </c>
      <c r="D8" s="630">
        <v>297</v>
      </c>
      <c r="E8" s="629">
        <f>2*D8</f>
        <v>594</v>
      </c>
      <c r="F8" s="1094">
        <f>2*268</f>
        <v>536</v>
      </c>
      <c r="G8" s="1061">
        <f>F8*1.15</f>
        <v>616.4</v>
      </c>
      <c r="H8" s="236">
        <f>(E8*0.23)</f>
        <v>136.62</v>
      </c>
      <c r="I8" s="235">
        <f>0.5*(H8*1.1)</f>
        <v>75.141000000000005</v>
      </c>
      <c r="J8" s="629" t="s">
        <v>50</v>
      </c>
      <c r="K8" s="629" t="s">
        <v>50</v>
      </c>
      <c r="L8" s="1094">
        <v>132</v>
      </c>
      <c r="M8" s="629">
        <v>15</v>
      </c>
      <c r="N8" s="629">
        <f>183-70</f>
        <v>113</v>
      </c>
      <c r="O8" s="629" t="s">
        <v>50</v>
      </c>
      <c r="P8" s="629" t="s">
        <v>50</v>
      </c>
      <c r="Q8" s="629">
        <f>SUM(J8:P8)</f>
        <v>260</v>
      </c>
      <c r="R8" s="303">
        <f>2*Q8</f>
        <v>520</v>
      </c>
      <c r="S8" s="347">
        <f>R8+(2*71)</f>
        <v>662</v>
      </c>
      <c r="T8" s="608">
        <v>13</v>
      </c>
      <c r="U8" s="608">
        <v>82</v>
      </c>
      <c r="V8" s="773" t="s">
        <v>50</v>
      </c>
      <c r="W8" s="773" t="s">
        <v>50</v>
      </c>
      <c r="X8" s="609">
        <f>SUM(T8:W8)</f>
        <v>95</v>
      </c>
      <c r="Y8" s="620">
        <f>2*X8</f>
        <v>190</v>
      </c>
      <c r="Z8" s="621">
        <f>Y8+(23)</f>
        <v>213</v>
      </c>
      <c r="AA8" s="612">
        <f>Z8-H8</f>
        <v>76.38</v>
      </c>
      <c r="AB8" s="618">
        <f>(Z8)-(I8)</f>
        <v>137.85899999999998</v>
      </c>
      <c r="AC8" s="1094">
        <f>306-78</f>
        <v>228</v>
      </c>
      <c r="AD8" s="612">
        <f>(33.89)+(AC8*0.2095)</f>
        <v>81.656000000000006</v>
      </c>
      <c r="AE8" s="612">
        <f>X8-U8+AD8</f>
        <v>94.656000000000006</v>
      </c>
      <c r="AF8" s="623">
        <f>2*AE8</f>
        <v>189.31200000000001</v>
      </c>
      <c r="AG8" s="624">
        <f>AF8+(23)</f>
        <v>212.31200000000001</v>
      </c>
      <c r="AH8" s="612">
        <f>AG8-I8</f>
        <v>137.17099999999999</v>
      </c>
      <c r="AI8" s="892" t="s">
        <v>365</v>
      </c>
      <c r="AJ8" s="1088">
        <v>74</v>
      </c>
      <c r="AK8" s="1088">
        <f>(2*AJ8)+(2*71)+(2*45)</f>
        <v>380</v>
      </c>
      <c r="AL8" s="1088">
        <f>S8-AK8</f>
        <v>282</v>
      </c>
      <c r="AM8" s="612">
        <v>15</v>
      </c>
      <c r="AN8" s="235">
        <f>(137)+(1*23)+AM8</f>
        <v>175</v>
      </c>
      <c r="AO8" s="236">
        <f>Z8-AN8</f>
        <v>38</v>
      </c>
      <c r="AP8" s="448"/>
      <c r="AQ8" s="271" t="s">
        <v>15</v>
      </c>
      <c r="AR8" s="632">
        <f>H8</f>
        <v>136.62</v>
      </c>
      <c r="AS8" s="632">
        <f>Z8</f>
        <v>213</v>
      </c>
      <c r="AT8" s="632">
        <f>AN8</f>
        <v>175</v>
      </c>
      <c r="AU8" s="292">
        <f>S8-G8</f>
        <v>45.600000000000023</v>
      </c>
      <c r="AV8" s="292">
        <f>AL8</f>
        <v>282</v>
      </c>
      <c r="BD8" s="811" t="s">
        <v>82</v>
      </c>
      <c r="BE8" s="977">
        <f>B8</f>
        <v>1</v>
      </c>
    </row>
    <row r="9" spans="1:57" s="242" customFormat="1">
      <c r="A9" s="814">
        <f t="shared" ref="A9:B12" si="1">A8+1</f>
        <v>2</v>
      </c>
      <c r="B9" s="780">
        <f t="shared" si="1"/>
        <v>2</v>
      </c>
      <c r="C9" s="271" t="s">
        <v>964</v>
      </c>
      <c r="D9" s="630">
        <v>293</v>
      </c>
      <c r="E9" s="629">
        <f>2*D9</f>
        <v>586</v>
      </c>
      <c r="F9" s="1094">
        <f>2*269</f>
        <v>538</v>
      </c>
      <c r="G9" s="1061">
        <f>F9*1.15</f>
        <v>618.69999999999993</v>
      </c>
      <c r="H9" s="236">
        <f t="shared" ref="H9:H12" si="2">(E9*0.23)</f>
        <v>134.78</v>
      </c>
      <c r="I9" s="235">
        <f>0.5*(H9*1.1)</f>
        <v>74.129000000000005</v>
      </c>
      <c r="J9" s="629" t="s">
        <v>50</v>
      </c>
      <c r="K9" s="629" t="s">
        <v>50</v>
      </c>
      <c r="L9" s="1094">
        <v>160</v>
      </c>
      <c r="M9" s="629">
        <v>15</v>
      </c>
      <c r="N9" s="629">
        <f>183-70</f>
        <v>113</v>
      </c>
      <c r="O9" s="629" t="s">
        <v>50</v>
      </c>
      <c r="P9" s="629" t="s">
        <v>50</v>
      </c>
      <c r="Q9" s="629">
        <f>SUM(J9:P9)</f>
        <v>288</v>
      </c>
      <c r="R9" s="303">
        <f>2*Q9</f>
        <v>576</v>
      </c>
      <c r="S9" s="347">
        <f>R9+(2*71)</f>
        <v>718</v>
      </c>
      <c r="T9" s="608">
        <v>13</v>
      </c>
      <c r="U9" s="608">
        <v>82</v>
      </c>
      <c r="V9" s="773" t="s">
        <v>50</v>
      </c>
      <c r="W9" s="773" t="s">
        <v>50</v>
      </c>
      <c r="X9" s="609">
        <f>SUM(T9:W9)</f>
        <v>95</v>
      </c>
      <c r="Y9" s="620">
        <f>2*X9</f>
        <v>190</v>
      </c>
      <c r="Z9" s="621">
        <f>Y9+(23)</f>
        <v>213</v>
      </c>
      <c r="AA9" s="612">
        <f>Z9-H9</f>
        <v>78.22</v>
      </c>
      <c r="AB9" s="618">
        <f>(Z9)-(I9)</f>
        <v>138.87099999999998</v>
      </c>
      <c r="AC9" s="1094">
        <f>306-78</f>
        <v>228</v>
      </c>
      <c r="AD9" s="612">
        <f t="shared" ref="AD9:AD12" si="3">(33.89)+(AC9*0.2095)</f>
        <v>81.656000000000006</v>
      </c>
      <c r="AE9" s="612">
        <f>X9-U9+AD9</f>
        <v>94.656000000000006</v>
      </c>
      <c r="AF9" s="623">
        <f>2*AE9</f>
        <v>189.31200000000001</v>
      </c>
      <c r="AG9" s="624">
        <f>AF9+(23)</f>
        <v>212.31200000000001</v>
      </c>
      <c r="AH9" s="612">
        <f>AG9-(I9)</f>
        <v>138.18299999999999</v>
      </c>
      <c r="AI9" s="892" t="s">
        <v>368</v>
      </c>
      <c r="AJ9" s="897">
        <v>74</v>
      </c>
      <c r="AK9" s="1088">
        <f>(2*AJ9)+(2*71)+(2*45)</f>
        <v>380</v>
      </c>
      <c r="AL9" s="1088">
        <f>S9-AK9</f>
        <v>338</v>
      </c>
      <c r="AM9" s="612">
        <v>15</v>
      </c>
      <c r="AN9" s="235">
        <f>(121)+(23)+AM9</f>
        <v>159</v>
      </c>
      <c r="AO9" s="236">
        <f>Z9-AN9</f>
        <v>54</v>
      </c>
      <c r="AP9" s="448"/>
      <c r="AQ9" s="271" t="s">
        <v>968</v>
      </c>
      <c r="AR9" s="632">
        <f>H9</f>
        <v>134.78</v>
      </c>
      <c r="AS9" s="632">
        <f>Z9</f>
        <v>213</v>
      </c>
      <c r="AT9" s="632">
        <f t="shared" ref="AT9:AT12" si="4">AN9</f>
        <v>159</v>
      </c>
      <c r="AU9" s="292">
        <f>S9-G9</f>
        <v>99.300000000000068</v>
      </c>
      <c r="AV9" s="292">
        <f t="shared" ref="AV9:AV12" si="5">AL9</f>
        <v>338</v>
      </c>
      <c r="BE9" s="977">
        <f t="shared" ref="BE9:BE12" si="6">B9</f>
        <v>2</v>
      </c>
    </row>
    <row r="10" spans="1:57" s="242" customFormat="1">
      <c r="A10" s="814">
        <f t="shared" si="1"/>
        <v>3</v>
      </c>
      <c r="B10" s="780">
        <f t="shared" si="1"/>
        <v>3</v>
      </c>
      <c r="C10" s="273" t="s">
        <v>338</v>
      </c>
      <c r="D10" s="630">
        <v>330</v>
      </c>
      <c r="E10" s="629">
        <f>2*D10</f>
        <v>660</v>
      </c>
      <c r="F10" s="1094">
        <f>2*314</f>
        <v>628</v>
      </c>
      <c r="G10" s="790">
        <f>F10*1.15</f>
        <v>722.19999999999993</v>
      </c>
      <c r="H10" s="236">
        <f t="shared" si="2"/>
        <v>151.80000000000001</v>
      </c>
      <c r="I10" s="235">
        <f>0.5*(H10*1.1)</f>
        <v>83.490000000000009</v>
      </c>
      <c r="J10" s="629">
        <v>39</v>
      </c>
      <c r="K10" s="629">
        <v>15</v>
      </c>
      <c r="L10" s="1094">
        <v>160</v>
      </c>
      <c r="M10" s="629">
        <v>15</v>
      </c>
      <c r="N10" s="629">
        <f>183-70</f>
        <v>113</v>
      </c>
      <c r="O10" s="629" t="s">
        <v>50</v>
      </c>
      <c r="P10" s="629" t="s">
        <v>50</v>
      </c>
      <c r="Q10" s="629">
        <f>SUM(J10:P10)</f>
        <v>342</v>
      </c>
      <c r="R10" s="303">
        <f>2*Q10</f>
        <v>684</v>
      </c>
      <c r="S10" s="347">
        <f>R10+(2*71)</f>
        <v>826</v>
      </c>
      <c r="T10" s="608">
        <f>6.5+13</f>
        <v>19.5</v>
      </c>
      <c r="U10" s="608">
        <v>82</v>
      </c>
      <c r="V10" s="773" t="s">
        <v>50</v>
      </c>
      <c r="W10" s="773" t="s">
        <v>50</v>
      </c>
      <c r="X10" s="609">
        <f>SUM(T10:W10)</f>
        <v>101.5</v>
      </c>
      <c r="Y10" s="620">
        <f>2*X10</f>
        <v>203</v>
      </c>
      <c r="Z10" s="621">
        <f>Y10+(23)</f>
        <v>226</v>
      </c>
      <c r="AA10" s="612">
        <f>Z10-H10</f>
        <v>74.199999999999989</v>
      </c>
      <c r="AB10" s="618">
        <f>(Z10)-(I10)</f>
        <v>142.51</v>
      </c>
      <c r="AC10" s="1094">
        <f>306-78</f>
        <v>228</v>
      </c>
      <c r="AD10" s="612">
        <f t="shared" si="3"/>
        <v>81.656000000000006</v>
      </c>
      <c r="AE10" s="612">
        <f>X10-U10+AD10</f>
        <v>101.15600000000001</v>
      </c>
      <c r="AF10" s="623">
        <f>2*AE10</f>
        <v>202.31200000000001</v>
      </c>
      <c r="AG10" s="624">
        <f>AF10+(23)</f>
        <v>225.31200000000001</v>
      </c>
      <c r="AH10" s="612">
        <f>AG10-(I10)</f>
        <v>141.822</v>
      </c>
      <c r="AI10" s="892" t="s">
        <v>368</v>
      </c>
      <c r="AJ10" s="897">
        <v>74</v>
      </c>
      <c r="AK10" s="1088">
        <f>(2*AJ10)+(2*71)+(2*45)</f>
        <v>380</v>
      </c>
      <c r="AL10" s="1088">
        <f>S10-AK10</f>
        <v>446</v>
      </c>
      <c r="AM10" s="612">
        <f>15+15</f>
        <v>30</v>
      </c>
      <c r="AN10" s="235">
        <f>(121)+(23)+AM10</f>
        <v>174</v>
      </c>
      <c r="AO10" s="236">
        <f>Z10-AN10</f>
        <v>52</v>
      </c>
      <c r="AP10" s="448"/>
      <c r="AQ10" s="273" t="s">
        <v>84</v>
      </c>
      <c r="AR10" s="632">
        <f>H10</f>
        <v>151.80000000000001</v>
      </c>
      <c r="AS10" s="632">
        <f>Z10</f>
        <v>226</v>
      </c>
      <c r="AT10" s="632">
        <f t="shared" si="4"/>
        <v>174</v>
      </c>
      <c r="AU10" s="292">
        <f>S10-G10</f>
        <v>103.80000000000007</v>
      </c>
      <c r="AV10" s="292">
        <f t="shared" si="5"/>
        <v>446</v>
      </c>
      <c r="BE10" s="977">
        <f t="shared" si="6"/>
        <v>3</v>
      </c>
    </row>
    <row r="11" spans="1:57" s="242" customFormat="1">
      <c r="A11" s="814">
        <f t="shared" si="1"/>
        <v>4</v>
      </c>
      <c r="B11" s="780">
        <f t="shared" si="1"/>
        <v>4</v>
      </c>
      <c r="C11" s="273" t="s">
        <v>339</v>
      </c>
      <c r="D11" s="630">
        <v>328</v>
      </c>
      <c r="E11" s="629">
        <f>2*D11</f>
        <v>656</v>
      </c>
      <c r="F11" s="1094">
        <f>2*306</f>
        <v>612</v>
      </c>
      <c r="G11" s="790">
        <f>F11*1.15</f>
        <v>703.8</v>
      </c>
      <c r="H11" s="236">
        <f t="shared" si="2"/>
        <v>150.88</v>
      </c>
      <c r="I11" s="332">
        <v>94</v>
      </c>
      <c r="J11" s="790" t="s">
        <v>50</v>
      </c>
      <c r="K11" s="790" t="s">
        <v>50</v>
      </c>
      <c r="L11" s="790">
        <v>132</v>
      </c>
      <c r="M11" s="629">
        <v>15</v>
      </c>
      <c r="N11" s="790">
        <f>183-44</f>
        <v>139</v>
      </c>
      <c r="O11" s="790" t="s">
        <v>50</v>
      </c>
      <c r="P11" s="790" t="s">
        <v>50</v>
      </c>
      <c r="Q11" s="629">
        <f>SUM(J11:P11)</f>
        <v>286</v>
      </c>
      <c r="R11" s="303">
        <f>2*Q11</f>
        <v>572</v>
      </c>
      <c r="S11" s="347">
        <f>R11+(2*71)</f>
        <v>714</v>
      </c>
      <c r="T11" s="608">
        <v>13</v>
      </c>
      <c r="U11" s="609">
        <v>87</v>
      </c>
      <c r="V11" s="664" t="s">
        <v>50</v>
      </c>
      <c r="W11" s="664" t="s">
        <v>50</v>
      </c>
      <c r="X11" s="609">
        <f>SUM(T11:W11)</f>
        <v>100</v>
      </c>
      <c r="Y11" s="620">
        <v>178</v>
      </c>
      <c r="Z11" s="621">
        <f>Y11+(23)</f>
        <v>201</v>
      </c>
      <c r="AA11" s="632">
        <v>53</v>
      </c>
      <c r="AB11" s="632">
        <v>130</v>
      </c>
      <c r="AC11" s="630">
        <f>306-48</f>
        <v>258</v>
      </c>
      <c r="AD11" s="612">
        <f t="shared" si="3"/>
        <v>87.941000000000003</v>
      </c>
      <c r="AE11" s="632">
        <v>114</v>
      </c>
      <c r="AF11" s="623">
        <v>229</v>
      </c>
      <c r="AG11" s="624">
        <f>AF11+(23)</f>
        <v>252</v>
      </c>
      <c r="AH11" s="632">
        <v>181</v>
      </c>
      <c r="AI11" s="892" t="s">
        <v>366</v>
      </c>
      <c r="AJ11" s="1088">
        <v>74</v>
      </c>
      <c r="AK11" s="701">
        <v>324</v>
      </c>
      <c r="AL11" s="701">
        <v>92</v>
      </c>
      <c r="AM11" s="666" t="s">
        <v>113</v>
      </c>
      <c r="AN11" s="306">
        <f>137+23</f>
        <v>160</v>
      </c>
      <c r="AO11" s="248">
        <v>76</v>
      </c>
      <c r="AP11" s="449"/>
      <c r="AQ11" s="273" t="s">
        <v>969</v>
      </c>
      <c r="AR11" s="632">
        <f>H11</f>
        <v>150.88</v>
      </c>
      <c r="AS11" s="632">
        <f>Z11</f>
        <v>201</v>
      </c>
      <c r="AT11" s="632">
        <f t="shared" si="4"/>
        <v>160</v>
      </c>
      <c r="AU11" s="292">
        <f>S11-G11</f>
        <v>10.200000000000045</v>
      </c>
      <c r="AV11" s="292">
        <f t="shared" si="5"/>
        <v>92</v>
      </c>
      <c r="AW11" s="406"/>
      <c r="AX11" s="406"/>
      <c r="AY11" s="406"/>
      <c r="AZ11" s="406"/>
      <c r="BA11" s="406"/>
      <c r="BE11" s="977">
        <f t="shared" si="6"/>
        <v>4</v>
      </c>
    </row>
    <row r="12" spans="1:57" s="280" customFormat="1" ht="14" customHeight="1">
      <c r="A12" s="814">
        <f t="shared" si="1"/>
        <v>5</v>
      </c>
      <c r="B12" s="780">
        <f t="shared" si="1"/>
        <v>5</v>
      </c>
      <c r="C12" s="279" t="s">
        <v>156</v>
      </c>
      <c r="D12" s="630">
        <v>338</v>
      </c>
      <c r="E12" s="629">
        <f>2*D12</f>
        <v>676</v>
      </c>
      <c r="F12" s="877">
        <f>2*326</f>
        <v>652</v>
      </c>
      <c r="G12" s="790">
        <f>F12*1.15</f>
        <v>749.8</v>
      </c>
      <c r="H12" s="236">
        <f t="shared" si="2"/>
        <v>155.48000000000002</v>
      </c>
      <c r="I12" s="235">
        <f>0.5*(H12*1.1)</f>
        <v>85.51400000000001</v>
      </c>
      <c r="J12" s="875">
        <v>39</v>
      </c>
      <c r="K12" s="875">
        <v>15</v>
      </c>
      <c r="L12" s="877">
        <v>160</v>
      </c>
      <c r="M12" s="629">
        <v>15</v>
      </c>
      <c r="N12" s="629">
        <f>183-70</f>
        <v>113</v>
      </c>
      <c r="O12" s="875" t="s">
        <v>111</v>
      </c>
      <c r="P12" s="875" t="s">
        <v>111</v>
      </c>
      <c r="Q12" s="875">
        <f>SUM(J12:P12)</f>
        <v>342</v>
      </c>
      <c r="R12" s="303">
        <f>2*Q12</f>
        <v>684</v>
      </c>
      <c r="S12" s="347">
        <f>R12+(2*71)</f>
        <v>826</v>
      </c>
      <c r="T12" s="608">
        <f>8.75+13</f>
        <v>21.75</v>
      </c>
      <c r="U12" s="608">
        <v>82</v>
      </c>
      <c r="V12" s="608" t="s">
        <v>112</v>
      </c>
      <c r="W12" s="608" t="s">
        <v>112</v>
      </c>
      <c r="X12" s="609">
        <f>SUM(T12:W12)</f>
        <v>103.75</v>
      </c>
      <c r="Y12" s="620">
        <f>2*X12</f>
        <v>207.5</v>
      </c>
      <c r="Z12" s="621">
        <f>Y12+(23)</f>
        <v>230.5</v>
      </c>
      <c r="AA12" s="612">
        <f>Z12-H12</f>
        <v>75.019999999999982</v>
      </c>
      <c r="AB12" s="618">
        <f>Z12-I12</f>
        <v>144.98599999999999</v>
      </c>
      <c r="AC12" s="630">
        <f>306-78</f>
        <v>228</v>
      </c>
      <c r="AD12" s="612">
        <f t="shared" si="3"/>
        <v>81.656000000000006</v>
      </c>
      <c r="AE12" s="612">
        <f>X12-U12+AD12</f>
        <v>103.40600000000001</v>
      </c>
      <c r="AF12" s="623">
        <f>2*AE12</f>
        <v>206.81200000000001</v>
      </c>
      <c r="AG12" s="624">
        <f>AF12+(23)</f>
        <v>229.81200000000001</v>
      </c>
      <c r="AH12" s="612">
        <f>AG12-I12</f>
        <v>144.298</v>
      </c>
      <c r="AI12" s="892" t="s">
        <v>367</v>
      </c>
      <c r="AJ12" s="1106">
        <v>74</v>
      </c>
      <c r="AK12" s="1088">
        <f>(2*AJ12)+(2*71)+(2*45)</f>
        <v>380</v>
      </c>
      <c r="AL12" s="1088">
        <f>S12-AK12</f>
        <v>446</v>
      </c>
      <c r="AM12" s="612">
        <f>15+15</f>
        <v>30</v>
      </c>
      <c r="AN12" s="235">
        <f>121+(23)+AM12</f>
        <v>174</v>
      </c>
      <c r="AO12" s="216">
        <f>Z12-AN12</f>
        <v>56.5</v>
      </c>
      <c r="AP12" s="450"/>
      <c r="AQ12" s="279" t="s">
        <v>261</v>
      </c>
      <c r="AR12" s="632">
        <f>H12</f>
        <v>155.48000000000002</v>
      </c>
      <c r="AS12" s="632">
        <f>Z12</f>
        <v>230.5</v>
      </c>
      <c r="AT12" s="632">
        <f t="shared" si="4"/>
        <v>174</v>
      </c>
      <c r="AU12" s="292">
        <f>S12-G12</f>
        <v>76.200000000000045</v>
      </c>
      <c r="AV12" s="292">
        <f t="shared" si="5"/>
        <v>446</v>
      </c>
      <c r="BE12" s="977">
        <f t="shared" si="6"/>
        <v>5</v>
      </c>
    </row>
    <row r="13" spans="1:57" ht="312" customHeight="1">
      <c r="A13" s="801"/>
      <c r="C13" s="1042" t="s">
        <v>774</v>
      </c>
      <c r="D13" s="1427" t="s">
        <v>849</v>
      </c>
      <c r="E13" s="1399"/>
      <c r="F13" s="1013" t="s">
        <v>850</v>
      </c>
      <c r="G13" s="1045" t="s">
        <v>851</v>
      </c>
      <c r="H13" s="1046" t="s">
        <v>190</v>
      </c>
      <c r="I13" s="844"/>
      <c r="J13" s="1042" t="s">
        <v>41</v>
      </c>
      <c r="K13" s="1170" t="s">
        <v>21</v>
      </c>
      <c r="L13" s="1171" t="s">
        <v>152</v>
      </c>
      <c r="M13" s="1034" t="s">
        <v>962</v>
      </c>
      <c r="N13" s="866" t="s">
        <v>963</v>
      </c>
      <c r="O13" s="12"/>
      <c r="P13" s="909"/>
      <c r="Q13" s="909"/>
      <c r="R13" s="23"/>
      <c r="S13" s="1038" t="s">
        <v>1159</v>
      </c>
      <c r="T13" s="1035" t="s">
        <v>146</v>
      </c>
      <c r="U13" s="866" t="s">
        <v>130</v>
      </c>
      <c r="V13" s="913"/>
      <c r="W13" s="12"/>
      <c r="X13" s="914"/>
      <c r="Y13" s="89"/>
      <c r="Z13" s="1230" t="s">
        <v>1148</v>
      </c>
      <c r="AA13" s="12"/>
      <c r="AB13" s="1036" t="s">
        <v>154</v>
      </c>
      <c r="AC13" s="589" t="s">
        <v>966</v>
      </c>
      <c r="AD13" s="733" t="s">
        <v>155</v>
      </c>
      <c r="AE13" s="123" t="s">
        <v>82</v>
      </c>
      <c r="AF13" s="206"/>
      <c r="AG13" s="1230" t="s">
        <v>1148</v>
      </c>
      <c r="AH13" s="845"/>
      <c r="AI13" s="918"/>
      <c r="AJ13" s="1078" t="s">
        <v>1153</v>
      </c>
      <c r="AK13" s="170"/>
      <c r="AL13" s="1098" t="s">
        <v>1</v>
      </c>
      <c r="AM13" s="105"/>
      <c r="AN13" s="540" t="s">
        <v>46</v>
      </c>
      <c r="AO13" s="174"/>
      <c r="AP13" s="446"/>
      <c r="AQ13" s="1091" t="s">
        <v>775</v>
      </c>
      <c r="AY13" s="3"/>
      <c r="AZ13" s="5"/>
      <c r="BA13" s="11"/>
      <c r="BB13" s="13"/>
    </row>
    <row r="14" spans="1:57" s="12" customFormat="1">
      <c r="A14" s="801"/>
      <c r="B14" s="124"/>
      <c r="C14" s="69"/>
      <c r="D14" s="69"/>
      <c r="E14" s="47"/>
      <c r="F14" s="47"/>
      <c r="G14" s="47"/>
      <c r="H14" s="136"/>
      <c r="I14" s="140"/>
      <c r="J14" s="140"/>
      <c r="K14" s="140"/>
      <c r="L14" s="140"/>
      <c r="M14" s="140"/>
      <c r="N14" s="140"/>
      <c r="O14" s="140"/>
      <c r="P14" s="140"/>
      <c r="Q14" s="140"/>
      <c r="R14" s="193"/>
      <c r="S14" s="40"/>
      <c r="T14" s="40"/>
      <c r="U14" s="40"/>
      <c r="V14" s="40"/>
      <c r="W14" s="40"/>
      <c r="X14" s="40"/>
      <c r="Y14" s="131"/>
      <c r="Z14" s="131"/>
      <c r="AA14" s="114"/>
      <c r="AB14" s="82"/>
      <c r="AC14" s="194"/>
      <c r="AD14" s="194"/>
      <c r="AE14" s="194"/>
      <c r="AF14" s="131"/>
      <c r="AG14" s="185"/>
      <c r="AH14" s="131"/>
      <c r="AI14" s="841"/>
      <c r="AJ14" s="127"/>
      <c r="AK14" s="60"/>
      <c r="AL14" s="187"/>
      <c r="AM14" s="187"/>
      <c r="AN14" s="131"/>
      <c r="AO14" s="131"/>
      <c r="AP14" s="446"/>
      <c r="AQ14" s="188"/>
      <c r="AR14" s="183"/>
      <c r="AV14" s="508" t="s">
        <v>82</v>
      </c>
      <c r="AY14" s="10"/>
      <c r="AZ14" s="31"/>
      <c r="BA14" s="54"/>
      <c r="BB14" s="26"/>
    </row>
    <row r="15" spans="1:57" s="12" customFormat="1">
      <c r="A15" s="801"/>
      <c r="B15" s="124"/>
      <c r="C15" s="69"/>
      <c r="D15" s="69"/>
      <c r="E15" s="138"/>
      <c r="F15" s="138"/>
      <c r="G15" s="138"/>
      <c r="H15" s="136"/>
      <c r="I15" s="140"/>
      <c r="J15" s="140"/>
      <c r="K15" s="140"/>
      <c r="L15" s="140"/>
      <c r="M15" s="140"/>
      <c r="N15" s="140"/>
      <c r="O15" s="140"/>
      <c r="P15" s="140"/>
      <c r="Q15" s="140"/>
      <c r="R15" s="184"/>
      <c r="S15" s="40"/>
      <c r="T15" s="40"/>
      <c r="U15" s="40"/>
      <c r="V15" s="40"/>
      <c r="W15" s="40"/>
      <c r="X15" s="40"/>
      <c r="Y15" s="131"/>
      <c r="Z15" s="131"/>
      <c r="AC15" s="114"/>
      <c r="AD15" s="114"/>
      <c r="AE15" s="114"/>
      <c r="AF15" s="131"/>
      <c r="AG15" s="185"/>
      <c r="AH15" s="131"/>
      <c r="AI15" s="841"/>
      <c r="AJ15" s="127"/>
      <c r="AK15" s="186"/>
      <c r="AL15" s="187"/>
      <c r="AM15" s="187"/>
      <c r="AN15" s="131"/>
      <c r="AO15" s="131"/>
      <c r="AP15" s="446"/>
      <c r="AQ15" s="188"/>
      <c r="AR15" s="183"/>
      <c r="AY15" s="10"/>
      <c r="AZ15" s="31"/>
      <c r="BA15" s="54"/>
      <c r="BB15" s="26"/>
    </row>
    <row r="16" spans="1:57" ht="15" customHeight="1">
      <c r="A16" s="801"/>
      <c r="B16" s="337" t="s">
        <v>30</v>
      </c>
      <c r="C16" s="1703" t="s">
        <v>641</v>
      </c>
      <c r="D16" s="1703"/>
      <c r="E16" s="1703"/>
      <c r="F16" s="1703"/>
      <c r="G16" s="1703"/>
      <c r="H16" s="1703"/>
      <c r="I16" s="1703"/>
      <c r="J16" s="1703"/>
      <c r="K16" s="1703"/>
      <c r="L16" s="1703"/>
      <c r="M16" s="1703"/>
      <c r="N16" s="1703"/>
      <c r="O16" s="1703"/>
      <c r="P16" s="1703"/>
      <c r="Q16" s="1703"/>
      <c r="R16" s="1703"/>
      <c r="S16" s="1703"/>
      <c r="T16" s="1704"/>
      <c r="U16" s="1704"/>
      <c r="V16" s="1704"/>
      <c r="W16" s="1704"/>
      <c r="X16" s="1704"/>
      <c r="Y16" s="1704"/>
      <c r="Z16" s="1704"/>
      <c r="AA16" s="1704"/>
      <c r="AB16" s="1704"/>
      <c r="AC16" s="1704"/>
      <c r="AD16" s="1704"/>
      <c r="AE16" s="1704"/>
      <c r="AF16" s="1704"/>
      <c r="AG16" s="1704"/>
      <c r="AH16" s="1704"/>
      <c r="AI16" s="185"/>
      <c r="AQ16" s="109"/>
    </row>
    <row r="17" spans="1:57" s="1184" customFormat="1" ht="30" customHeight="1">
      <c r="A17" s="1134"/>
      <c r="B17" s="1176"/>
      <c r="C17" s="503" t="s">
        <v>116</v>
      </c>
      <c r="D17" s="1546" t="s">
        <v>28</v>
      </c>
      <c r="E17" s="1547"/>
      <c r="F17" s="1547"/>
      <c r="G17" s="1547"/>
      <c r="H17" s="1547"/>
      <c r="I17" s="1548"/>
      <c r="J17" s="1528" t="s">
        <v>104</v>
      </c>
      <c r="K17" s="1529"/>
      <c r="L17" s="1529"/>
      <c r="M17" s="1529"/>
      <c r="N17" s="1529"/>
      <c r="O17" s="1529"/>
      <c r="P17" s="1529"/>
      <c r="Q17" s="1529"/>
      <c r="R17" s="1599" t="s">
        <v>22</v>
      </c>
      <c r="S17" s="1600"/>
      <c r="T17" s="1516" t="s">
        <v>136</v>
      </c>
      <c r="U17" s="1517"/>
      <c r="V17" s="1517"/>
      <c r="W17" s="1517"/>
      <c r="X17" s="1517"/>
      <c r="Y17" s="1514" t="s">
        <v>126</v>
      </c>
      <c r="Z17" s="1515"/>
      <c r="AA17" s="1177"/>
      <c r="AB17" s="1178"/>
      <c r="AC17" s="1538" t="s">
        <v>101</v>
      </c>
      <c r="AD17" s="1539"/>
      <c r="AE17" s="1539"/>
      <c r="AF17" s="1518" t="s">
        <v>23</v>
      </c>
      <c r="AG17" s="1592"/>
      <c r="AH17" s="1179"/>
      <c r="AI17" s="1639" t="s">
        <v>25</v>
      </c>
      <c r="AJ17" s="1640"/>
      <c r="AK17" s="1640"/>
      <c r="AL17" s="1640"/>
      <c r="AM17" s="1640"/>
      <c r="AN17" s="1641"/>
      <c r="AO17" s="1180"/>
      <c r="AP17" s="1181"/>
      <c r="AQ17" s="1182"/>
      <c r="AR17" s="1183"/>
      <c r="AV17" s="1319" t="s">
        <v>82</v>
      </c>
    </row>
    <row r="18" spans="1:57" s="147" customFormat="1">
      <c r="A18" s="802"/>
      <c r="B18" s="227"/>
      <c r="C18" s="507"/>
      <c r="D18" s="210">
        <v>1</v>
      </c>
      <c r="E18" s="211">
        <f t="shared" ref="E18:AO18" si="7">D18+1</f>
        <v>2</v>
      </c>
      <c r="F18" s="211">
        <f t="shared" si="7"/>
        <v>3</v>
      </c>
      <c r="G18" s="211">
        <f t="shared" si="7"/>
        <v>4</v>
      </c>
      <c r="H18" s="211">
        <f t="shared" si="7"/>
        <v>5</v>
      </c>
      <c r="I18" s="212">
        <f t="shared" si="7"/>
        <v>6</v>
      </c>
      <c r="J18" s="210">
        <f t="shared" si="7"/>
        <v>7</v>
      </c>
      <c r="K18" s="211">
        <f t="shared" si="7"/>
        <v>8</v>
      </c>
      <c r="L18" s="211">
        <f t="shared" si="7"/>
        <v>9</v>
      </c>
      <c r="M18" s="211">
        <f t="shared" si="7"/>
        <v>10</v>
      </c>
      <c r="N18" s="211">
        <f t="shared" si="7"/>
        <v>11</v>
      </c>
      <c r="O18" s="211">
        <f t="shared" si="7"/>
        <v>12</v>
      </c>
      <c r="P18" s="211">
        <f t="shared" si="7"/>
        <v>13</v>
      </c>
      <c r="Q18" s="211">
        <f t="shared" si="7"/>
        <v>14</v>
      </c>
      <c r="R18" s="210">
        <f>Q18+1</f>
        <v>15</v>
      </c>
      <c r="S18" s="212">
        <f t="shared" si="7"/>
        <v>16</v>
      </c>
      <c r="T18" s="210">
        <f t="shared" si="7"/>
        <v>17</v>
      </c>
      <c r="U18" s="211">
        <f t="shared" si="7"/>
        <v>18</v>
      </c>
      <c r="V18" s="211">
        <f t="shared" si="7"/>
        <v>19</v>
      </c>
      <c r="W18" s="211">
        <f t="shared" si="7"/>
        <v>20</v>
      </c>
      <c r="X18" s="211">
        <f t="shared" si="7"/>
        <v>21</v>
      </c>
      <c r="Y18" s="926">
        <f>X18+1</f>
        <v>22</v>
      </c>
      <c r="Z18" s="927">
        <f t="shared" si="7"/>
        <v>23</v>
      </c>
      <c r="AA18" s="210">
        <f t="shared" si="7"/>
        <v>24</v>
      </c>
      <c r="AB18" s="212">
        <f t="shared" si="7"/>
        <v>25</v>
      </c>
      <c r="AC18" s="210">
        <f t="shared" si="7"/>
        <v>26</v>
      </c>
      <c r="AD18" s="211">
        <f t="shared" si="7"/>
        <v>27</v>
      </c>
      <c r="AE18" s="211">
        <f t="shared" si="7"/>
        <v>28</v>
      </c>
      <c r="AF18" s="211">
        <f t="shared" si="7"/>
        <v>29</v>
      </c>
      <c r="AG18" s="212">
        <f t="shared" si="7"/>
        <v>30</v>
      </c>
      <c r="AH18" s="211">
        <f t="shared" si="7"/>
        <v>31</v>
      </c>
      <c r="AI18" s="86">
        <f>AH18+1</f>
        <v>32</v>
      </c>
      <c r="AJ18" s="38">
        <f>AI18+1</f>
        <v>33</v>
      </c>
      <c r="AK18" s="211">
        <f t="shared" si="7"/>
        <v>34</v>
      </c>
      <c r="AL18" s="211">
        <f t="shared" si="7"/>
        <v>35</v>
      </c>
      <c r="AM18" s="38">
        <f>AL18+1</f>
        <v>36</v>
      </c>
      <c r="AN18" s="359">
        <f>AM18+1</f>
        <v>37</v>
      </c>
      <c r="AO18" s="212">
        <f t="shared" si="7"/>
        <v>38</v>
      </c>
      <c r="AP18" s="451"/>
      <c r="AQ18" s="213"/>
      <c r="AR18" s="213"/>
    </row>
    <row r="19" spans="1:57" ht="121" customHeight="1">
      <c r="A19" s="801"/>
      <c r="B19" s="335"/>
      <c r="C19" s="1168" t="s">
        <v>971</v>
      </c>
      <c r="D19" s="1026" t="s">
        <v>634</v>
      </c>
      <c r="E19" s="1025" t="s">
        <v>505</v>
      </c>
      <c r="F19" s="1025" t="s">
        <v>407</v>
      </c>
      <c r="G19" s="1025" t="s">
        <v>642</v>
      </c>
      <c r="H19" s="418" t="s">
        <v>409</v>
      </c>
      <c r="I19" s="820" t="s">
        <v>643</v>
      </c>
      <c r="J19" s="1026" t="s">
        <v>528</v>
      </c>
      <c r="K19" s="1025" t="s">
        <v>975</v>
      </c>
      <c r="L19" s="1025" t="s">
        <v>644</v>
      </c>
      <c r="M19" s="1025" t="s">
        <v>976</v>
      </c>
      <c r="N19" s="1025" t="s">
        <v>511</v>
      </c>
      <c r="O19" s="1025" t="s">
        <v>978</v>
      </c>
      <c r="P19" s="1025" t="s">
        <v>513</v>
      </c>
      <c r="Q19" s="1027" t="s">
        <v>418</v>
      </c>
      <c r="R19" s="179" t="s">
        <v>447</v>
      </c>
      <c r="S19" s="322" t="s">
        <v>448</v>
      </c>
      <c r="T19" s="819" t="s">
        <v>645</v>
      </c>
      <c r="U19" s="819" t="s">
        <v>646</v>
      </c>
      <c r="V19" s="819" t="s">
        <v>647</v>
      </c>
      <c r="W19" s="819" t="s">
        <v>648</v>
      </c>
      <c r="X19" s="819" t="s">
        <v>649</v>
      </c>
      <c r="Y19" s="175" t="s">
        <v>425</v>
      </c>
      <c r="Z19" s="545" t="s">
        <v>520</v>
      </c>
      <c r="AA19" s="819" t="s">
        <v>650</v>
      </c>
      <c r="AB19" s="819" t="s">
        <v>428</v>
      </c>
      <c r="AC19" s="1026" t="s">
        <v>429</v>
      </c>
      <c r="AD19" s="819" t="s">
        <v>651</v>
      </c>
      <c r="AE19" s="819" t="s">
        <v>652</v>
      </c>
      <c r="AF19" s="154" t="s">
        <v>432</v>
      </c>
      <c r="AG19" s="568" t="s">
        <v>639</v>
      </c>
      <c r="AH19" s="819" t="s">
        <v>434</v>
      </c>
      <c r="AI19" s="1087" t="s">
        <v>346</v>
      </c>
      <c r="AJ19" s="1055" t="s">
        <v>435</v>
      </c>
      <c r="AK19" s="1172" t="s">
        <v>0</v>
      </c>
      <c r="AL19" s="1056" t="s">
        <v>970</v>
      </c>
      <c r="AM19" s="819" t="s">
        <v>402</v>
      </c>
      <c r="AN19" s="820" t="s">
        <v>343</v>
      </c>
      <c r="AO19" s="202" t="s">
        <v>436</v>
      </c>
      <c r="AP19" s="452"/>
      <c r="AQ19" s="1091" t="s">
        <v>984</v>
      </c>
      <c r="AR19" s="418" t="s">
        <v>438</v>
      </c>
      <c r="AS19" s="418" t="s">
        <v>439</v>
      </c>
      <c r="AT19" s="361" t="s">
        <v>440</v>
      </c>
      <c r="AU19" s="861" t="s">
        <v>403</v>
      </c>
      <c r="AV19" s="861" t="s">
        <v>746</v>
      </c>
      <c r="BE19" s="978" t="s">
        <v>779</v>
      </c>
    </row>
    <row r="20" spans="1:57" s="242" customFormat="1">
      <c r="A20" s="814">
        <f>A12+1</f>
        <v>6</v>
      </c>
      <c r="B20" s="780">
        <f>B12+1</f>
        <v>6</v>
      </c>
      <c r="C20" s="279" t="s">
        <v>974</v>
      </c>
      <c r="D20" s="630">
        <v>332</v>
      </c>
      <c r="E20" s="629">
        <f t="shared" ref="E20:E24" si="8">2*D20</f>
        <v>664</v>
      </c>
      <c r="F20" s="877">
        <f>(2*303)</f>
        <v>606</v>
      </c>
      <c r="G20" s="790">
        <f t="shared" ref="G20:G24" si="9">F20*1.15</f>
        <v>696.9</v>
      </c>
      <c r="H20" s="236">
        <f>0.23*E20</f>
        <v>152.72</v>
      </c>
      <c r="I20" s="235">
        <f t="shared" ref="I20:I24" si="10">0.5*(H20*1.1)</f>
        <v>83.996000000000009</v>
      </c>
      <c r="J20" s="875" t="s">
        <v>111</v>
      </c>
      <c r="K20" s="875" t="s">
        <v>111</v>
      </c>
      <c r="L20" s="875">
        <v>160</v>
      </c>
      <c r="M20" s="875">
        <v>15</v>
      </c>
      <c r="N20" s="875">
        <f>183-44</f>
        <v>139</v>
      </c>
      <c r="O20" s="875" t="s">
        <v>111</v>
      </c>
      <c r="P20" s="875" t="s">
        <v>111</v>
      </c>
      <c r="Q20" s="875">
        <f t="shared" ref="Q20:Q24" si="11">SUM(J20:P20)</f>
        <v>314</v>
      </c>
      <c r="R20" s="303">
        <f t="shared" ref="R20:R24" si="12">2*Q20</f>
        <v>628</v>
      </c>
      <c r="S20" s="347">
        <f t="shared" ref="S20:S24" si="13">R20+(2*71)</f>
        <v>770</v>
      </c>
      <c r="T20" s="608">
        <v>0</v>
      </c>
      <c r="U20" s="608">
        <v>13</v>
      </c>
      <c r="V20" s="608">
        <v>87</v>
      </c>
      <c r="W20" s="608" t="s">
        <v>112</v>
      </c>
      <c r="X20" s="609">
        <f t="shared" ref="X20:X24" si="14">SUM(T20:W20)</f>
        <v>100</v>
      </c>
      <c r="Y20" s="620">
        <f t="shared" ref="Y20:Y24" si="15">2*X20</f>
        <v>200</v>
      </c>
      <c r="Z20" s="621">
        <f t="shared" ref="Z20:Z24" si="16">Y20+(23)</f>
        <v>223</v>
      </c>
      <c r="AA20" s="612">
        <f t="shared" ref="AA20:AA24" si="17">Z20-H20</f>
        <v>70.28</v>
      </c>
      <c r="AB20" s="618">
        <f>Z20-I20</f>
        <v>139.00399999999999</v>
      </c>
      <c r="AC20" s="874">
        <f>(306-48)</f>
        <v>258</v>
      </c>
      <c r="AD20" s="612">
        <f>(33.89)+(AC20*0.2025)</f>
        <v>86.135000000000005</v>
      </c>
      <c r="AE20" s="612">
        <f t="shared" ref="AE20:AE24" si="18">X20-V20+AD20</f>
        <v>99.135000000000005</v>
      </c>
      <c r="AF20" s="623">
        <f t="shared" ref="AF20:AF24" si="19">2*AE20</f>
        <v>198.27</v>
      </c>
      <c r="AG20" s="624">
        <f t="shared" ref="AG20:AG24" si="20">AF20+(23)</f>
        <v>221.27</v>
      </c>
      <c r="AH20" s="611">
        <f>AG20-I20</f>
        <v>137.274</v>
      </c>
      <c r="AI20" s="952" t="s">
        <v>367</v>
      </c>
      <c r="AJ20" s="1088">
        <v>74</v>
      </c>
      <c r="AK20" s="1088">
        <f t="shared" ref="AK20:AK24" si="21">(2*AJ20)+(2*71)+(2*45)</f>
        <v>380</v>
      </c>
      <c r="AL20" s="1088">
        <f>S20-AK20</f>
        <v>390</v>
      </c>
      <c r="AM20" s="666" t="s">
        <v>113</v>
      </c>
      <c r="AN20" s="235">
        <f>121+(23)</f>
        <v>144</v>
      </c>
      <c r="AO20" s="216">
        <f>Z20-AN20</f>
        <v>79</v>
      </c>
      <c r="AP20" s="453"/>
      <c r="AQ20" s="279" t="s">
        <v>766</v>
      </c>
      <c r="AR20" s="632">
        <f>H20</f>
        <v>152.72</v>
      </c>
      <c r="AS20" s="632">
        <f>Z20</f>
        <v>223</v>
      </c>
      <c r="AT20" s="632">
        <f>AN20</f>
        <v>144</v>
      </c>
      <c r="AU20" s="292">
        <f>S20-G20</f>
        <v>73.100000000000023</v>
      </c>
      <c r="AV20" s="292">
        <f>AL20</f>
        <v>390</v>
      </c>
      <c r="AY20" s="228"/>
      <c r="AZ20" s="293"/>
      <c r="BA20" s="294"/>
      <c r="BB20" s="238"/>
      <c r="BE20" s="979">
        <f>B20</f>
        <v>6</v>
      </c>
    </row>
    <row r="21" spans="1:57" s="242" customFormat="1">
      <c r="A21" s="814">
        <f>A20+1</f>
        <v>7</v>
      </c>
      <c r="B21" s="780">
        <f>B20+1</f>
        <v>7</v>
      </c>
      <c r="C21" s="271" t="s">
        <v>184</v>
      </c>
      <c r="D21" s="630">
        <v>355</v>
      </c>
      <c r="E21" s="629">
        <f t="shared" si="8"/>
        <v>710</v>
      </c>
      <c r="F21" s="877">
        <f>(2*322)</f>
        <v>644</v>
      </c>
      <c r="G21" s="629">
        <f>F21*1.15</f>
        <v>740.59999999999991</v>
      </c>
      <c r="H21" s="236">
        <f t="shared" ref="H21:H24" si="22">0.23*E21</f>
        <v>163.30000000000001</v>
      </c>
      <c r="I21" s="235">
        <f t="shared" si="10"/>
        <v>89.815000000000012</v>
      </c>
      <c r="J21" s="629">
        <v>22</v>
      </c>
      <c r="K21" s="629">
        <v>15</v>
      </c>
      <c r="L21" s="875">
        <v>160</v>
      </c>
      <c r="M21" s="875">
        <v>15</v>
      </c>
      <c r="N21" s="875">
        <f>183-44</f>
        <v>139</v>
      </c>
      <c r="O21" s="629" t="s">
        <v>50</v>
      </c>
      <c r="P21" s="629" t="s">
        <v>50</v>
      </c>
      <c r="Q21" s="629">
        <f t="shared" si="11"/>
        <v>351</v>
      </c>
      <c r="R21" s="303">
        <f>2*Q21</f>
        <v>702</v>
      </c>
      <c r="S21" s="441">
        <f>R21+(2*71)</f>
        <v>844</v>
      </c>
      <c r="T21" s="608">
        <v>6.5</v>
      </c>
      <c r="U21" s="608">
        <v>13</v>
      </c>
      <c r="V21" s="608">
        <v>87</v>
      </c>
      <c r="W21" s="773" t="s">
        <v>50</v>
      </c>
      <c r="X21" s="609">
        <f>SUM(T21:W21)</f>
        <v>106.5</v>
      </c>
      <c r="Y21" s="620">
        <f>2*X21</f>
        <v>213</v>
      </c>
      <c r="Z21" s="621">
        <f t="shared" si="16"/>
        <v>236</v>
      </c>
      <c r="AA21" s="612">
        <f t="shared" si="17"/>
        <v>72.699999999999989</v>
      </c>
      <c r="AB21" s="612">
        <f>(Z21)-(I21)</f>
        <v>146.185</v>
      </c>
      <c r="AC21" s="630">
        <f>306-48</f>
        <v>258</v>
      </c>
      <c r="AD21" s="612">
        <f t="shared" ref="AD21:AD24" si="23">(33.89)+(AC21*0.2025)</f>
        <v>86.135000000000005</v>
      </c>
      <c r="AE21" s="612">
        <f t="shared" si="18"/>
        <v>105.63500000000001</v>
      </c>
      <c r="AF21" s="623">
        <f>2*AE21</f>
        <v>211.27</v>
      </c>
      <c r="AG21" s="624">
        <f t="shared" si="20"/>
        <v>234.27</v>
      </c>
      <c r="AH21" s="612">
        <f>AG21-(I21)</f>
        <v>144.45499999999998</v>
      </c>
      <c r="AI21" s="952" t="s">
        <v>983</v>
      </c>
      <c r="AJ21" s="1088">
        <v>74</v>
      </c>
      <c r="AK21" s="1075">
        <f>2*AJ21+(2*71)+(2*45)</f>
        <v>380</v>
      </c>
      <c r="AL21" s="1088">
        <f>S21-AK21</f>
        <v>464</v>
      </c>
      <c r="AM21" s="612">
        <v>15</v>
      </c>
      <c r="AN21" s="235">
        <f>121+(23)+AM21</f>
        <v>159</v>
      </c>
      <c r="AO21" s="236">
        <f>Z21-AN21</f>
        <v>77</v>
      </c>
      <c r="AP21" s="453"/>
      <c r="AQ21" s="271" t="s">
        <v>163</v>
      </c>
      <c r="AR21" s="632">
        <f>H21</f>
        <v>163.30000000000001</v>
      </c>
      <c r="AS21" s="632">
        <f>Z21</f>
        <v>236</v>
      </c>
      <c r="AT21" s="632">
        <f>AN21</f>
        <v>159</v>
      </c>
      <c r="AU21" s="292">
        <f>S21-G21</f>
        <v>103.40000000000009</v>
      </c>
      <c r="AV21" s="292">
        <f>AL21</f>
        <v>464</v>
      </c>
      <c r="BE21" s="979">
        <f t="shared" ref="BE21:BE24" si="24">B21</f>
        <v>7</v>
      </c>
    </row>
    <row r="22" spans="1:57" s="147" customFormat="1">
      <c r="A22" s="814">
        <f>A21+1</f>
        <v>8</v>
      </c>
      <c r="B22" s="780">
        <f>B21+1</f>
        <v>8</v>
      </c>
      <c r="C22" s="271" t="s">
        <v>185</v>
      </c>
      <c r="D22" s="630">
        <v>371</v>
      </c>
      <c r="E22" s="629">
        <f t="shared" si="8"/>
        <v>742</v>
      </c>
      <c r="F22" s="877">
        <f>(2*346)</f>
        <v>692</v>
      </c>
      <c r="G22" s="629">
        <f>F22*1.15</f>
        <v>795.8</v>
      </c>
      <c r="H22" s="236">
        <f t="shared" si="22"/>
        <v>170.66</v>
      </c>
      <c r="I22" s="235">
        <f t="shared" si="10"/>
        <v>93.863</v>
      </c>
      <c r="J22" s="629">
        <v>42</v>
      </c>
      <c r="K22" s="629">
        <v>15</v>
      </c>
      <c r="L22" s="875">
        <v>140</v>
      </c>
      <c r="M22" s="875">
        <v>15</v>
      </c>
      <c r="N22" s="875">
        <f>183-44</f>
        <v>139</v>
      </c>
      <c r="O22" s="629" t="s">
        <v>50</v>
      </c>
      <c r="P22" s="629" t="s">
        <v>50</v>
      </c>
      <c r="Q22" s="629">
        <f t="shared" si="11"/>
        <v>351</v>
      </c>
      <c r="R22" s="303">
        <f>2*Q22</f>
        <v>702</v>
      </c>
      <c r="S22" s="441">
        <f>R22+(2*71)</f>
        <v>844</v>
      </c>
      <c r="T22" s="608">
        <v>8.75</v>
      </c>
      <c r="U22" s="608">
        <v>13</v>
      </c>
      <c r="V22" s="608">
        <v>87</v>
      </c>
      <c r="W22" s="773" t="s">
        <v>50</v>
      </c>
      <c r="X22" s="609">
        <f>SUM(T22:W22)</f>
        <v>108.75</v>
      </c>
      <c r="Y22" s="620">
        <f>2*X22</f>
        <v>217.5</v>
      </c>
      <c r="Z22" s="621">
        <f t="shared" si="16"/>
        <v>240.5</v>
      </c>
      <c r="AA22" s="612">
        <f t="shared" si="17"/>
        <v>69.84</v>
      </c>
      <c r="AB22" s="612">
        <f>(Z22)-(I22)</f>
        <v>146.637</v>
      </c>
      <c r="AC22" s="630">
        <f>306-48</f>
        <v>258</v>
      </c>
      <c r="AD22" s="612">
        <f t="shared" si="23"/>
        <v>86.135000000000005</v>
      </c>
      <c r="AE22" s="612">
        <f t="shared" si="18"/>
        <v>107.88500000000001</v>
      </c>
      <c r="AF22" s="623">
        <f>2*AE22</f>
        <v>215.77</v>
      </c>
      <c r="AG22" s="624">
        <f t="shared" si="20"/>
        <v>238.77</v>
      </c>
      <c r="AH22" s="612">
        <f>AG22-(I22)</f>
        <v>144.90700000000001</v>
      </c>
      <c r="AI22" s="952" t="s">
        <v>983</v>
      </c>
      <c r="AJ22" s="1088">
        <v>74</v>
      </c>
      <c r="AK22" s="1088">
        <f>2*AJ22+(2*71)+(2*45)</f>
        <v>380</v>
      </c>
      <c r="AL22" s="1088">
        <f>S22-AK22</f>
        <v>464</v>
      </c>
      <c r="AM22" s="612">
        <v>15</v>
      </c>
      <c r="AN22" s="235">
        <f>121+(23)+AM22</f>
        <v>159</v>
      </c>
      <c r="AO22" s="236">
        <f>Z22-AN22</f>
        <v>81.5</v>
      </c>
      <c r="AP22" s="453"/>
      <c r="AQ22" s="311" t="s">
        <v>83</v>
      </c>
      <c r="AR22" s="632">
        <f>H22</f>
        <v>170.66</v>
      </c>
      <c r="AS22" s="632">
        <f>Z22</f>
        <v>240.5</v>
      </c>
      <c r="AT22" s="632">
        <f>AN22</f>
        <v>159</v>
      </c>
      <c r="AU22" s="292">
        <f>S22-G22</f>
        <v>48.200000000000045</v>
      </c>
      <c r="AV22" s="292">
        <f>AL22</f>
        <v>464</v>
      </c>
      <c r="BE22" s="979">
        <f t="shared" si="24"/>
        <v>8</v>
      </c>
    </row>
    <row r="23" spans="1:57" s="147" customFormat="1">
      <c r="A23" s="814">
        <f t="shared" ref="A23:B24" si="25">A22+1</f>
        <v>9</v>
      </c>
      <c r="B23" s="780">
        <f t="shared" si="25"/>
        <v>9</v>
      </c>
      <c r="C23" s="271" t="s">
        <v>973</v>
      </c>
      <c r="D23" s="630">
        <v>381</v>
      </c>
      <c r="E23" s="629">
        <f t="shared" si="8"/>
        <v>762</v>
      </c>
      <c r="F23" s="877">
        <f>(2*359)</f>
        <v>718</v>
      </c>
      <c r="G23" s="790">
        <f t="shared" si="9"/>
        <v>825.69999999999993</v>
      </c>
      <c r="H23" s="236">
        <f t="shared" si="22"/>
        <v>175.26000000000002</v>
      </c>
      <c r="I23" s="235">
        <f t="shared" si="10"/>
        <v>96.393000000000015</v>
      </c>
      <c r="J23" s="875" t="s">
        <v>111</v>
      </c>
      <c r="K23" s="875" t="s">
        <v>111</v>
      </c>
      <c r="L23" s="875">
        <v>160</v>
      </c>
      <c r="M23" s="875">
        <v>15</v>
      </c>
      <c r="N23" s="875">
        <v>183</v>
      </c>
      <c r="O23" s="875" t="s">
        <v>111</v>
      </c>
      <c r="P23" s="875" t="s">
        <v>111</v>
      </c>
      <c r="Q23" s="875">
        <f t="shared" si="11"/>
        <v>358</v>
      </c>
      <c r="R23" s="303">
        <f t="shared" si="12"/>
        <v>716</v>
      </c>
      <c r="S23" s="347">
        <f t="shared" si="13"/>
        <v>858</v>
      </c>
      <c r="T23" s="608">
        <v>0</v>
      </c>
      <c r="U23" s="608">
        <v>13</v>
      </c>
      <c r="V23" s="608">
        <v>93</v>
      </c>
      <c r="W23" s="608" t="s">
        <v>112</v>
      </c>
      <c r="X23" s="609">
        <f t="shared" si="14"/>
        <v>106</v>
      </c>
      <c r="Y23" s="620">
        <f t="shared" si="15"/>
        <v>212</v>
      </c>
      <c r="Z23" s="621">
        <f t="shared" si="16"/>
        <v>235</v>
      </c>
      <c r="AA23" s="612">
        <f t="shared" si="17"/>
        <v>59.739999999999981</v>
      </c>
      <c r="AB23" s="618">
        <f>Z23-I23</f>
        <v>138.60699999999997</v>
      </c>
      <c r="AC23" s="874">
        <v>306</v>
      </c>
      <c r="AD23" s="612">
        <f t="shared" si="23"/>
        <v>95.855000000000004</v>
      </c>
      <c r="AE23" s="612">
        <f t="shared" si="18"/>
        <v>108.855</v>
      </c>
      <c r="AF23" s="623">
        <f t="shared" si="19"/>
        <v>217.71</v>
      </c>
      <c r="AG23" s="624">
        <f t="shared" si="20"/>
        <v>240.71</v>
      </c>
      <c r="AH23" s="611">
        <f>AG23-I23</f>
        <v>144.31700000000001</v>
      </c>
      <c r="AI23" s="1076" t="s">
        <v>369</v>
      </c>
      <c r="AJ23" s="1106">
        <v>89</v>
      </c>
      <c r="AK23" s="1088">
        <f t="shared" si="21"/>
        <v>410</v>
      </c>
      <c r="AL23" s="1088">
        <f>S23-AK23</f>
        <v>448</v>
      </c>
      <c r="AM23" s="666" t="s">
        <v>113</v>
      </c>
      <c r="AN23" s="235">
        <f>(89)+23</f>
        <v>112</v>
      </c>
      <c r="AO23" s="216">
        <f>Z23-AN23</f>
        <v>123</v>
      </c>
      <c r="AP23" s="453"/>
      <c r="AQ23" s="279" t="s">
        <v>794</v>
      </c>
      <c r="AR23" s="632">
        <f>H23</f>
        <v>175.26000000000002</v>
      </c>
      <c r="AS23" s="632">
        <f>Z23</f>
        <v>235</v>
      </c>
      <c r="AT23" s="632">
        <f>AN23</f>
        <v>112</v>
      </c>
      <c r="AU23" s="292">
        <f>S23-G23</f>
        <v>32.300000000000068</v>
      </c>
      <c r="AV23" s="292">
        <f>AL23</f>
        <v>448</v>
      </c>
      <c r="AY23" s="237"/>
      <c r="AZ23" s="289"/>
      <c r="BA23" s="290"/>
      <c r="BB23" s="148"/>
      <c r="BE23" s="979">
        <f t="shared" si="24"/>
        <v>9</v>
      </c>
    </row>
    <row r="24" spans="1:57" s="147" customFormat="1">
      <c r="A24" s="814">
        <f t="shared" si="25"/>
        <v>10</v>
      </c>
      <c r="B24" s="780">
        <f t="shared" si="25"/>
        <v>10</v>
      </c>
      <c r="C24" s="271" t="s">
        <v>157</v>
      </c>
      <c r="D24" s="630">
        <v>394</v>
      </c>
      <c r="E24" s="629">
        <f t="shared" si="8"/>
        <v>788</v>
      </c>
      <c r="F24" s="877">
        <f>(2*352)</f>
        <v>704</v>
      </c>
      <c r="G24" s="790">
        <f t="shared" si="9"/>
        <v>809.59999999999991</v>
      </c>
      <c r="H24" s="236">
        <f t="shared" si="22"/>
        <v>181.24</v>
      </c>
      <c r="I24" s="235">
        <f t="shared" si="10"/>
        <v>99.682000000000016</v>
      </c>
      <c r="J24" s="875">
        <v>81</v>
      </c>
      <c r="K24" s="875">
        <v>15</v>
      </c>
      <c r="L24" s="875">
        <v>160</v>
      </c>
      <c r="M24" s="875">
        <v>15</v>
      </c>
      <c r="N24" s="875">
        <v>183</v>
      </c>
      <c r="O24" s="875">
        <v>25</v>
      </c>
      <c r="P24" s="875">
        <v>12</v>
      </c>
      <c r="Q24" s="875">
        <f t="shared" si="11"/>
        <v>491</v>
      </c>
      <c r="R24" s="303">
        <f t="shared" si="12"/>
        <v>982</v>
      </c>
      <c r="S24" s="509">
        <f t="shared" si="13"/>
        <v>1124</v>
      </c>
      <c r="T24" s="608">
        <v>1.75</v>
      </c>
      <c r="U24" s="608">
        <v>13</v>
      </c>
      <c r="V24" s="608">
        <v>93</v>
      </c>
      <c r="W24" s="608">
        <v>3.45</v>
      </c>
      <c r="X24" s="609">
        <f t="shared" si="14"/>
        <v>111.2</v>
      </c>
      <c r="Y24" s="620">
        <f t="shared" si="15"/>
        <v>222.4</v>
      </c>
      <c r="Z24" s="621">
        <f t="shared" si="16"/>
        <v>245.4</v>
      </c>
      <c r="AA24" s="612">
        <f t="shared" si="17"/>
        <v>64.16</v>
      </c>
      <c r="AB24" s="618">
        <f>Z24-I24</f>
        <v>145.71799999999999</v>
      </c>
      <c r="AC24" s="874">
        <f>306</f>
        <v>306</v>
      </c>
      <c r="AD24" s="612">
        <f t="shared" si="23"/>
        <v>95.855000000000004</v>
      </c>
      <c r="AE24" s="612">
        <f t="shared" si="18"/>
        <v>114.05500000000001</v>
      </c>
      <c r="AF24" s="623">
        <f t="shared" si="19"/>
        <v>228.11</v>
      </c>
      <c r="AG24" s="624">
        <f t="shared" si="20"/>
        <v>251.11</v>
      </c>
      <c r="AH24" s="611">
        <f>AG24-I24</f>
        <v>151.428</v>
      </c>
      <c r="AI24" s="1076" t="s">
        <v>370</v>
      </c>
      <c r="AJ24" s="1106">
        <v>76</v>
      </c>
      <c r="AK24" s="1088">
        <f t="shared" si="21"/>
        <v>384</v>
      </c>
      <c r="AL24" s="1088">
        <f>S24-AK24</f>
        <v>740</v>
      </c>
      <c r="AM24" s="666" t="s">
        <v>113</v>
      </c>
      <c r="AN24" s="235">
        <f>122+(23)</f>
        <v>145</v>
      </c>
      <c r="AO24" s="216">
        <f>Z24-AN24</f>
        <v>100.4</v>
      </c>
      <c r="AP24" s="453"/>
      <c r="AQ24" s="271" t="s">
        <v>191</v>
      </c>
      <c r="AR24" s="632">
        <f>H24</f>
        <v>181.24</v>
      </c>
      <c r="AS24" s="632">
        <f>Z24</f>
        <v>245.4</v>
      </c>
      <c r="AT24" s="632">
        <f>AN24</f>
        <v>145</v>
      </c>
      <c r="AU24" s="292">
        <f>S24-G24</f>
        <v>314.40000000000009</v>
      </c>
      <c r="AV24" s="292">
        <f>AL24</f>
        <v>740</v>
      </c>
      <c r="AY24" s="237"/>
      <c r="AZ24" s="289"/>
      <c r="BA24" s="290"/>
      <c r="BB24" s="148"/>
      <c r="BE24" s="979">
        <f t="shared" si="24"/>
        <v>10</v>
      </c>
    </row>
    <row r="25" spans="1:57" ht="304" customHeight="1">
      <c r="A25" s="801"/>
      <c r="C25" s="1042" t="s">
        <v>774</v>
      </c>
      <c r="D25" s="1446" t="s">
        <v>972</v>
      </c>
      <c r="E25" s="1365"/>
      <c r="F25" s="1013" t="s">
        <v>850</v>
      </c>
      <c r="G25" s="1045" t="s">
        <v>851</v>
      </c>
      <c r="H25" s="1046" t="s">
        <v>190</v>
      </c>
      <c r="I25" s="925"/>
      <c r="J25" s="1174" t="s">
        <v>653</v>
      </c>
      <c r="K25" s="321"/>
      <c r="L25" s="866" t="s">
        <v>189</v>
      </c>
      <c r="M25" s="1034" t="s">
        <v>962</v>
      </c>
      <c r="N25" s="866" t="s">
        <v>977</v>
      </c>
      <c r="O25" s="891" t="s">
        <v>979</v>
      </c>
      <c r="P25" s="1175" t="s">
        <v>980</v>
      </c>
      <c r="Q25" s="909"/>
      <c r="R25" s="23"/>
      <c r="S25" s="1038" t="s">
        <v>1159</v>
      </c>
      <c r="T25" s="1174" t="s">
        <v>654</v>
      </c>
      <c r="U25" s="1035" t="s">
        <v>981</v>
      </c>
      <c r="V25" s="866" t="s">
        <v>130</v>
      </c>
      <c r="W25" s="1175" t="s">
        <v>980</v>
      </c>
      <c r="X25" s="914"/>
      <c r="Y25" s="23"/>
      <c r="Z25" s="1230" t="s">
        <v>1148</v>
      </c>
      <c r="AA25" s="12"/>
      <c r="AB25" s="1036" t="s">
        <v>154</v>
      </c>
      <c r="AC25" s="589" t="s">
        <v>982</v>
      </c>
      <c r="AD25" s="1021" t="s">
        <v>158</v>
      </c>
      <c r="AE25" s="929" t="s">
        <v>82</v>
      </c>
      <c r="AF25" s="206"/>
      <c r="AG25" s="1230" t="s">
        <v>1148</v>
      </c>
      <c r="AH25" s="658"/>
      <c r="AI25" s="919"/>
      <c r="AJ25" s="1078" t="s">
        <v>1153</v>
      </c>
      <c r="AK25" s="170"/>
      <c r="AL25" s="1098" t="s">
        <v>1</v>
      </c>
      <c r="AM25" s="105"/>
      <c r="AN25" s="540" t="s">
        <v>46</v>
      </c>
      <c r="AQ25" s="1091" t="s">
        <v>985</v>
      </c>
    </row>
    <row r="26" spans="1:57" s="12" customFormat="1">
      <c r="A26" s="801"/>
      <c r="B26" s="69"/>
      <c r="C26" s="69"/>
      <c r="D26" s="47"/>
      <c r="E26" s="47"/>
      <c r="F26" s="136"/>
      <c r="G26" s="136"/>
      <c r="H26" s="140"/>
      <c r="I26" s="140"/>
      <c r="J26" s="140"/>
      <c r="K26" s="140"/>
      <c r="L26" s="140"/>
      <c r="M26" s="140"/>
      <c r="N26" s="140"/>
      <c r="O26" s="140"/>
      <c r="P26" s="140"/>
      <c r="Q26" s="140"/>
      <c r="R26" s="40"/>
      <c r="S26" s="40"/>
      <c r="T26" s="40"/>
      <c r="U26" s="40"/>
      <c r="V26" s="40"/>
      <c r="W26" s="40"/>
      <c r="X26" s="40"/>
      <c r="Y26" s="131"/>
      <c r="Z26" s="114"/>
      <c r="AA26" s="82"/>
      <c r="AB26" s="194"/>
      <c r="AC26" s="194"/>
      <c r="AD26" s="194"/>
      <c r="AE26" s="194"/>
      <c r="AF26" s="185"/>
      <c r="AG26" s="131"/>
      <c r="AH26" s="127"/>
      <c r="AI26" s="127"/>
      <c r="AJ26" s="60"/>
      <c r="AK26" s="187"/>
      <c r="AL26" s="131"/>
      <c r="AM26" s="817"/>
      <c r="AN26" s="131"/>
      <c r="AO26" s="201"/>
      <c r="AP26" s="455"/>
      <c r="AQ26" s="130"/>
      <c r="AR26" s="129"/>
      <c r="AS26" s="128"/>
      <c r="AV26" s="508" t="s">
        <v>82</v>
      </c>
    </row>
    <row r="27" spans="1:57" s="12" customFormat="1">
      <c r="A27" s="801"/>
      <c r="B27" s="124"/>
      <c r="C27" s="68"/>
      <c r="D27" s="254"/>
      <c r="E27" s="45"/>
      <c r="F27" s="45"/>
      <c r="G27" s="45"/>
      <c r="H27" s="70"/>
      <c r="I27" s="70"/>
      <c r="J27" s="178"/>
      <c r="K27" s="178"/>
      <c r="L27" s="178"/>
      <c r="M27" s="178"/>
      <c r="N27" s="178"/>
      <c r="O27" s="178"/>
      <c r="P27" s="178"/>
      <c r="Q27" s="153"/>
      <c r="R27" s="258"/>
      <c r="S27" s="259"/>
      <c r="T27" s="121"/>
      <c r="U27" s="121"/>
      <c r="V27" s="178"/>
      <c r="W27" s="178"/>
      <c r="X27" s="178"/>
      <c r="Y27" s="28"/>
      <c r="Z27" s="257"/>
      <c r="AA27" s="50"/>
      <c r="AB27" s="255"/>
      <c r="AC27" s="156"/>
      <c r="AD27" s="157"/>
      <c r="AE27" s="157"/>
      <c r="AF27" s="28"/>
      <c r="AG27" s="257"/>
      <c r="AH27" s="256"/>
      <c r="AI27" s="923"/>
      <c r="AJ27" s="162"/>
      <c r="AK27" s="162"/>
      <c r="AL27" s="162"/>
      <c r="AM27" s="162"/>
      <c r="AN27" s="201"/>
      <c r="AO27" s="201"/>
      <c r="AP27" s="455"/>
      <c r="AQ27" s="130"/>
      <c r="AR27" s="129"/>
      <c r="AS27" s="128"/>
    </row>
    <row r="28" spans="1:57" s="12" customFormat="1">
      <c r="A28" s="801"/>
      <c r="B28" s="337" t="s">
        <v>31</v>
      </c>
      <c r="C28" s="1705" t="s">
        <v>641</v>
      </c>
      <c r="D28" s="1705"/>
      <c r="E28" s="1705"/>
      <c r="F28" s="1705"/>
      <c r="G28" s="1705"/>
      <c r="H28" s="1705"/>
      <c r="I28" s="1705"/>
      <c r="J28" s="1705"/>
      <c r="K28" s="1705"/>
      <c r="L28" s="1705"/>
      <c r="M28" s="1705"/>
      <c r="N28" s="1705"/>
      <c r="O28" s="1705"/>
      <c r="P28" s="1705"/>
      <c r="Q28" s="1705"/>
      <c r="R28" s="1705"/>
      <c r="S28" s="1705"/>
      <c r="T28" s="1704"/>
      <c r="U28" s="1704"/>
      <c r="V28" s="1704"/>
      <c r="W28" s="1704"/>
      <c r="X28" s="1704"/>
      <c r="Y28" s="1704"/>
      <c r="Z28" s="1704"/>
      <c r="AA28" s="1704"/>
      <c r="AB28" s="1704"/>
      <c r="AC28" s="1704"/>
      <c r="AD28" s="1704"/>
      <c r="AE28" s="1704"/>
      <c r="AF28" s="1704"/>
      <c r="AG28" s="1704"/>
      <c r="AH28"/>
      <c r="AI28" s="56"/>
      <c r="AJ28" s="24"/>
      <c r="AK28" s="24"/>
      <c r="AL28" s="104"/>
      <c r="AM28" s="104"/>
      <c r="AN28" s="56"/>
      <c r="AO28" s="56"/>
      <c r="AP28" s="455"/>
      <c r="AQ28" s="832" t="s">
        <v>82</v>
      </c>
      <c r="AR28" s="129"/>
      <c r="AS28" s="128"/>
    </row>
    <row r="29" spans="1:57" s="1196" customFormat="1" ht="30" customHeight="1">
      <c r="A29" s="1134"/>
      <c r="B29" s="1176"/>
      <c r="C29" s="503" t="s">
        <v>116</v>
      </c>
      <c r="D29" s="1546" t="s">
        <v>28</v>
      </c>
      <c r="E29" s="1547"/>
      <c r="F29" s="1547"/>
      <c r="G29" s="1547"/>
      <c r="H29" s="1547"/>
      <c r="I29" s="1548"/>
      <c r="J29" s="1529" t="s">
        <v>104</v>
      </c>
      <c r="K29" s="1529"/>
      <c r="L29" s="1529"/>
      <c r="M29" s="1529"/>
      <c r="N29" s="1529"/>
      <c r="O29" s="1529"/>
      <c r="P29" s="1529"/>
      <c r="Q29" s="1529"/>
      <c r="R29" s="1599" t="s">
        <v>22</v>
      </c>
      <c r="S29" s="1600"/>
      <c r="T29" s="1516" t="s">
        <v>136</v>
      </c>
      <c r="U29" s="1517"/>
      <c r="V29" s="1517"/>
      <c r="W29" s="1517"/>
      <c r="X29" s="1517"/>
      <c r="Y29" s="1514" t="s">
        <v>126</v>
      </c>
      <c r="Z29" s="1515"/>
      <c r="AA29" s="1177"/>
      <c r="AB29" s="1177"/>
      <c r="AC29" s="1538" t="s">
        <v>101</v>
      </c>
      <c r="AD29" s="1539"/>
      <c r="AE29" s="1539"/>
      <c r="AF29" s="1591" t="s">
        <v>23</v>
      </c>
      <c r="AG29" s="1592"/>
      <c r="AH29" s="1179"/>
      <c r="AI29" s="1191"/>
      <c r="AJ29" s="1510" t="s">
        <v>25</v>
      </c>
      <c r="AK29" s="1510"/>
      <c r="AL29" s="1510"/>
      <c r="AM29" s="1510"/>
      <c r="AN29" s="1511"/>
      <c r="AO29" s="1180"/>
      <c r="AP29" s="1192"/>
      <c r="AQ29" s="1193"/>
      <c r="AR29" s="1194"/>
      <c r="AS29" s="1195"/>
      <c r="AV29" s="1320" t="s">
        <v>82</v>
      </c>
    </row>
    <row r="30" spans="1:57" s="12" customFormat="1">
      <c r="A30" s="801"/>
      <c r="B30" s="227"/>
      <c r="C30" s="507"/>
      <c r="D30" s="210">
        <v>1</v>
      </c>
      <c r="E30" s="211">
        <f t="shared" ref="E30:AO30" si="26">D30+1</f>
        <v>2</v>
      </c>
      <c r="F30" s="211">
        <f t="shared" si="26"/>
        <v>3</v>
      </c>
      <c r="G30" s="211">
        <f t="shared" si="26"/>
        <v>4</v>
      </c>
      <c r="H30" s="211">
        <f t="shared" si="26"/>
        <v>5</v>
      </c>
      <c r="I30" s="212">
        <f t="shared" si="26"/>
        <v>6</v>
      </c>
      <c r="J30" s="211">
        <f t="shared" si="26"/>
        <v>7</v>
      </c>
      <c r="K30" s="211">
        <f t="shared" si="26"/>
        <v>8</v>
      </c>
      <c r="L30" s="211">
        <f t="shared" si="26"/>
        <v>9</v>
      </c>
      <c r="M30" s="211">
        <f t="shared" si="26"/>
        <v>10</v>
      </c>
      <c r="N30" s="211">
        <f t="shared" si="26"/>
        <v>11</v>
      </c>
      <c r="O30" s="211">
        <f t="shared" si="26"/>
        <v>12</v>
      </c>
      <c r="P30" s="211">
        <f t="shared" si="26"/>
        <v>13</v>
      </c>
      <c r="Q30" s="211">
        <f t="shared" si="26"/>
        <v>14</v>
      </c>
      <c r="R30" s="210">
        <f t="shared" si="26"/>
        <v>15</v>
      </c>
      <c r="S30" s="212">
        <f t="shared" si="26"/>
        <v>16</v>
      </c>
      <c r="T30" s="211">
        <f t="shared" si="26"/>
        <v>17</v>
      </c>
      <c r="U30" s="211">
        <f t="shared" si="26"/>
        <v>18</v>
      </c>
      <c r="V30" s="211">
        <f t="shared" si="26"/>
        <v>19</v>
      </c>
      <c r="W30" s="211">
        <f t="shared" si="26"/>
        <v>20</v>
      </c>
      <c r="X30" s="211">
        <f t="shared" si="26"/>
        <v>21</v>
      </c>
      <c r="Y30" s="926">
        <f t="shared" si="26"/>
        <v>22</v>
      </c>
      <c r="Z30" s="927">
        <f t="shared" si="26"/>
        <v>23</v>
      </c>
      <c r="AA30" s="930">
        <f t="shared" si="26"/>
        <v>24</v>
      </c>
      <c r="AB30" s="930">
        <f t="shared" si="26"/>
        <v>25</v>
      </c>
      <c r="AC30" s="926">
        <f t="shared" si="26"/>
        <v>26</v>
      </c>
      <c r="AD30" s="930">
        <f t="shared" si="26"/>
        <v>27</v>
      </c>
      <c r="AE30" s="930">
        <f t="shared" si="26"/>
        <v>28</v>
      </c>
      <c r="AF30" s="930">
        <f t="shared" si="26"/>
        <v>29</v>
      </c>
      <c r="AG30" s="927">
        <f t="shared" si="26"/>
        <v>30</v>
      </c>
      <c r="AH30" s="211">
        <f t="shared" si="26"/>
        <v>31</v>
      </c>
      <c r="AI30" s="86">
        <f>AH30+1</f>
        <v>32</v>
      </c>
      <c r="AJ30" s="38">
        <f>AI30+1</f>
        <v>33</v>
      </c>
      <c r="AK30" s="211">
        <f t="shared" si="26"/>
        <v>34</v>
      </c>
      <c r="AL30" s="211">
        <f t="shared" si="26"/>
        <v>35</v>
      </c>
      <c r="AM30" s="38">
        <f>AL30+1</f>
        <v>36</v>
      </c>
      <c r="AN30" s="359">
        <f>AM30+1</f>
        <v>37</v>
      </c>
      <c r="AO30" s="212">
        <f t="shared" si="26"/>
        <v>38</v>
      </c>
      <c r="AP30" s="455"/>
      <c r="AQ30" s="130"/>
      <c r="AR30" s="129"/>
      <c r="AS30" s="128"/>
    </row>
    <row r="31" spans="1:57" s="12" customFormat="1" ht="131" customHeight="1">
      <c r="A31" s="801"/>
      <c r="B31" s="335"/>
      <c r="C31" s="1068" t="s">
        <v>986</v>
      </c>
      <c r="D31" s="1023" t="s">
        <v>655</v>
      </c>
      <c r="E31" s="1024" t="s">
        <v>656</v>
      </c>
      <c r="F31" s="1025" t="s">
        <v>407</v>
      </c>
      <c r="G31" s="1025" t="s">
        <v>408</v>
      </c>
      <c r="H31" s="418" t="s">
        <v>409</v>
      </c>
      <c r="I31" s="820" t="s">
        <v>643</v>
      </c>
      <c r="J31" s="1054" t="s">
        <v>657</v>
      </c>
      <c r="K31" s="1054" t="s">
        <v>658</v>
      </c>
      <c r="L31" s="1054" t="s">
        <v>659</v>
      </c>
      <c r="M31" s="1104" t="s">
        <v>992</v>
      </c>
      <c r="N31" s="1025" t="s">
        <v>660</v>
      </c>
      <c r="O31" s="1025" t="s">
        <v>661</v>
      </c>
      <c r="P31" s="1025" t="s">
        <v>662</v>
      </c>
      <c r="Q31" s="1027" t="s">
        <v>418</v>
      </c>
      <c r="R31" s="179" t="s">
        <v>447</v>
      </c>
      <c r="S31" s="322" t="s">
        <v>448</v>
      </c>
      <c r="T31" s="819" t="s">
        <v>663</v>
      </c>
      <c r="U31" s="819" t="s">
        <v>664</v>
      </c>
      <c r="V31" s="819" t="s">
        <v>995</v>
      </c>
      <c r="W31" s="819" t="s">
        <v>665</v>
      </c>
      <c r="X31" s="819" t="s">
        <v>453</v>
      </c>
      <c r="Y31" s="175" t="s">
        <v>425</v>
      </c>
      <c r="Z31" s="545" t="s">
        <v>520</v>
      </c>
      <c r="AA31" s="819" t="s">
        <v>650</v>
      </c>
      <c r="AB31" s="819" t="s">
        <v>428</v>
      </c>
      <c r="AC31" s="1026" t="s">
        <v>429</v>
      </c>
      <c r="AD31" s="819" t="s">
        <v>651</v>
      </c>
      <c r="AE31" s="819" t="s">
        <v>431</v>
      </c>
      <c r="AF31" s="154" t="s">
        <v>432</v>
      </c>
      <c r="AG31" s="568" t="s">
        <v>639</v>
      </c>
      <c r="AH31" s="819" t="s">
        <v>434</v>
      </c>
      <c r="AI31" s="1087" t="s">
        <v>346</v>
      </c>
      <c r="AJ31" s="1055" t="s">
        <v>435</v>
      </c>
      <c r="AK31" s="1172" t="s">
        <v>0</v>
      </c>
      <c r="AL31" s="1056" t="s">
        <v>27</v>
      </c>
      <c r="AM31" s="819" t="s">
        <v>402</v>
      </c>
      <c r="AN31" s="820" t="s">
        <v>343</v>
      </c>
      <c r="AO31" s="570" t="s">
        <v>436</v>
      </c>
      <c r="AP31" s="455"/>
      <c r="AQ31" s="1068" t="s">
        <v>273</v>
      </c>
      <c r="AR31" s="418" t="s">
        <v>438</v>
      </c>
      <c r="AS31" s="418" t="s">
        <v>531</v>
      </c>
      <c r="AT31" s="361" t="s">
        <v>440</v>
      </c>
      <c r="AU31" s="861" t="s">
        <v>403</v>
      </c>
      <c r="AV31" s="861" t="s">
        <v>746</v>
      </c>
      <c r="BE31" s="978" t="s">
        <v>779</v>
      </c>
    </row>
    <row r="32" spans="1:57" s="242" customFormat="1">
      <c r="A32" s="814">
        <f>A24+1</f>
        <v>11</v>
      </c>
      <c r="B32" s="780">
        <f>B24+1</f>
        <v>11</v>
      </c>
      <c r="C32" s="271" t="s">
        <v>159</v>
      </c>
      <c r="D32" s="630">
        <v>332</v>
      </c>
      <c r="E32" s="629">
        <f>2*D32</f>
        <v>664</v>
      </c>
      <c r="F32" s="877">
        <f>2*315</f>
        <v>630</v>
      </c>
      <c r="G32" s="629">
        <f>F32*1.15</f>
        <v>724.5</v>
      </c>
      <c r="H32" s="236">
        <f>(E32*0.23)</f>
        <v>152.72</v>
      </c>
      <c r="I32" s="235">
        <f>0.5*(H32*1.1)</f>
        <v>83.996000000000009</v>
      </c>
      <c r="J32" s="1106" t="s">
        <v>50</v>
      </c>
      <c r="K32" s="1106" t="s">
        <v>50</v>
      </c>
      <c r="L32" s="1106">
        <f>183-70</f>
        <v>113</v>
      </c>
      <c r="M32" s="1106">
        <v>15</v>
      </c>
      <c r="N32" s="629">
        <v>160</v>
      </c>
      <c r="O32" s="629">
        <v>15</v>
      </c>
      <c r="P32" s="629">
        <v>81</v>
      </c>
      <c r="Q32" s="629">
        <f t="shared" ref="Q32:Q34" si="27">SUM(J32:P32)</f>
        <v>384</v>
      </c>
      <c r="R32" s="303">
        <f t="shared" ref="R32:R34" si="28">2*Q32</f>
        <v>768</v>
      </c>
      <c r="S32" s="643">
        <f t="shared" ref="S32:S34" si="29">R32+(2*71)</f>
        <v>910</v>
      </c>
      <c r="T32" s="608">
        <v>0</v>
      </c>
      <c r="U32" s="608">
        <v>82</v>
      </c>
      <c r="V32" s="608">
        <v>13</v>
      </c>
      <c r="W32" s="608">
        <v>1.75</v>
      </c>
      <c r="X32" s="609">
        <f t="shared" ref="X32:X34" si="30">SUM(T32:W32)</f>
        <v>96.75</v>
      </c>
      <c r="Y32" s="620">
        <f>2*X32</f>
        <v>193.5</v>
      </c>
      <c r="Z32" s="621">
        <f t="shared" ref="Z32:Z34" si="31">Y32+(23)</f>
        <v>216.5</v>
      </c>
      <c r="AA32" s="625">
        <f t="shared" ref="AA32:AA34" si="32">Z32-H32</f>
        <v>63.78</v>
      </c>
      <c r="AB32" s="618">
        <f>(Z32)-(I32)</f>
        <v>132.50399999999999</v>
      </c>
      <c r="AC32" s="629">
        <f>306-78</f>
        <v>228</v>
      </c>
      <c r="AD32" s="612">
        <f>(33.89)+(AC32*0.2095)</f>
        <v>81.656000000000006</v>
      </c>
      <c r="AE32" s="612">
        <f t="shared" ref="AE32:AE33" si="33">X32-U32+AD32</f>
        <v>96.406000000000006</v>
      </c>
      <c r="AF32" s="623">
        <f>2*AE32</f>
        <v>192.81200000000001</v>
      </c>
      <c r="AG32" s="624">
        <f t="shared" ref="AG32:AG34" si="34">AF32+(23)</f>
        <v>215.81200000000001</v>
      </c>
      <c r="AH32" s="612">
        <f>AG32-(I32)</f>
        <v>131.816</v>
      </c>
      <c r="AI32" s="1076" t="s">
        <v>999</v>
      </c>
      <c r="AJ32" s="1106">
        <v>72</v>
      </c>
      <c r="AK32" s="1088">
        <f>(2*AJ32)+(2*71)+(2*45)</f>
        <v>376</v>
      </c>
      <c r="AL32" s="1088">
        <f>S32-AK32</f>
        <v>534</v>
      </c>
      <c r="AM32" s="612">
        <v>15</v>
      </c>
      <c r="AN32" s="235">
        <f>(169)+(1*23)+AM32</f>
        <v>207</v>
      </c>
      <c r="AO32" s="236">
        <f>Z32-AN32</f>
        <v>9.5</v>
      </c>
      <c r="AP32" s="448"/>
      <c r="AQ32" s="271" t="s">
        <v>271</v>
      </c>
      <c r="AR32" s="632">
        <f>H32</f>
        <v>152.72</v>
      </c>
      <c r="AS32" s="632">
        <f>Z32</f>
        <v>216.5</v>
      </c>
      <c r="AT32" s="632">
        <f>AN32</f>
        <v>207</v>
      </c>
      <c r="AU32" s="292">
        <f>S32-G32</f>
        <v>185.5</v>
      </c>
      <c r="AV32" s="292">
        <f>AL32</f>
        <v>534</v>
      </c>
      <c r="BE32" s="979">
        <f>B32</f>
        <v>11</v>
      </c>
    </row>
    <row r="33" spans="1:57" s="242" customFormat="1">
      <c r="A33" s="814">
        <f t="shared" ref="A33:B35" si="35">A32+1</f>
        <v>12</v>
      </c>
      <c r="B33" s="780">
        <f t="shared" si="35"/>
        <v>12</v>
      </c>
      <c r="C33" s="271" t="s">
        <v>160</v>
      </c>
      <c r="D33" s="630">
        <v>363</v>
      </c>
      <c r="E33" s="629">
        <f>2*D33</f>
        <v>726</v>
      </c>
      <c r="F33" s="877">
        <f>2*347</f>
        <v>694</v>
      </c>
      <c r="G33" s="629">
        <f>F33*1.15</f>
        <v>798.09999999999991</v>
      </c>
      <c r="H33" s="236">
        <f t="shared" ref="H33:H34" si="36">(E33*0.23)</f>
        <v>166.98000000000002</v>
      </c>
      <c r="I33" s="235">
        <f>0.5*(H33*1.1)</f>
        <v>91.839000000000013</v>
      </c>
      <c r="J33" s="1106" t="s">
        <v>50</v>
      </c>
      <c r="K33" s="1106" t="s">
        <v>50</v>
      </c>
      <c r="L33" s="1106">
        <f>183-44</f>
        <v>139</v>
      </c>
      <c r="M33" s="1106">
        <v>15</v>
      </c>
      <c r="N33" s="629">
        <v>160</v>
      </c>
      <c r="O33" s="629">
        <v>15</v>
      </c>
      <c r="P33" s="629">
        <v>81</v>
      </c>
      <c r="Q33" s="629">
        <f t="shared" si="27"/>
        <v>410</v>
      </c>
      <c r="R33" s="303">
        <f t="shared" si="28"/>
        <v>820</v>
      </c>
      <c r="S33" s="643">
        <f t="shared" si="29"/>
        <v>962</v>
      </c>
      <c r="T33" s="608">
        <v>0</v>
      </c>
      <c r="U33" s="608">
        <v>87</v>
      </c>
      <c r="V33" s="608">
        <v>13</v>
      </c>
      <c r="W33" s="608">
        <v>1.75</v>
      </c>
      <c r="X33" s="609">
        <f t="shared" si="30"/>
        <v>101.75</v>
      </c>
      <c r="Y33" s="620">
        <f>2*X33</f>
        <v>203.5</v>
      </c>
      <c r="Z33" s="621">
        <f t="shared" si="31"/>
        <v>226.5</v>
      </c>
      <c r="AA33" s="625">
        <f t="shared" si="32"/>
        <v>59.519999999999982</v>
      </c>
      <c r="AB33" s="618">
        <f>(Z33)-(I33)</f>
        <v>134.661</v>
      </c>
      <c r="AC33" s="629">
        <f>306-48</f>
        <v>258</v>
      </c>
      <c r="AD33" s="612">
        <f>(33.89)+(AC33*0.2095)</f>
        <v>87.941000000000003</v>
      </c>
      <c r="AE33" s="612">
        <f t="shared" si="33"/>
        <v>102.691</v>
      </c>
      <c r="AF33" s="623">
        <f>2*AE33</f>
        <v>205.38200000000001</v>
      </c>
      <c r="AG33" s="624">
        <f t="shared" si="34"/>
        <v>228.38200000000001</v>
      </c>
      <c r="AH33" s="612">
        <f>AG33-(I33)</f>
        <v>136.54300000000001</v>
      </c>
      <c r="AI33" s="1076" t="s">
        <v>999</v>
      </c>
      <c r="AJ33" s="1106">
        <v>72</v>
      </c>
      <c r="AK33" s="1088">
        <f>(2*AJ33)+(2*71)+(2*45)</f>
        <v>376</v>
      </c>
      <c r="AL33" s="1088">
        <f>S33-AK33</f>
        <v>586</v>
      </c>
      <c r="AM33" s="666" t="s">
        <v>113</v>
      </c>
      <c r="AN33" s="235">
        <f>(169)+(1*23)</f>
        <v>192</v>
      </c>
      <c r="AO33" s="236">
        <f>Z33-AN33</f>
        <v>34.5</v>
      </c>
      <c r="AP33" s="453"/>
      <c r="AQ33" s="271" t="s">
        <v>272</v>
      </c>
      <c r="AR33" s="632">
        <f>H33</f>
        <v>166.98000000000002</v>
      </c>
      <c r="AS33" s="632">
        <f>Z33</f>
        <v>226.5</v>
      </c>
      <c r="AT33" s="632">
        <f t="shared" ref="AT33:AT35" si="37">AN33</f>
        <v>192</v>
      </c>
      <c r="AU33" s="292">
        <f>S33-G33</f>
        <v>163.90000000000009</v>
      </c>
      <c r="AV33" s="292">
        <f t="shared" ref="AV33:AV35" si="38">AL33</f>
        <v>586</v>
      </c>
      <c r="BE33" s="979">
        <f t="shared" ref="BE33:BE35" si="39">B33</f>
        <v>12</v>
      </c>
    </row>
    <row r="34" spans="1:57" s="242" customFormat="1">
      <c r="A34" s="814">
        <f t="shared" si="35"/>
        <v>13</v>
      </c>
      <c r="B34" s="780">
        <f t="shared" si="35"/>
        <v>13</v>
      </c>
      <c r="C34" s="271" t="s">
        <v>990</v>
      </c>
      <c r="D34" s="630">
        <v>368</v>
      </c>
      <c r="E34" s="877">
        <f>2*D34</f>
        <v>736</v>
      </c>
      <c r="F34" s="877">
        <v>646</v>
      </c>
      <c r="G34" s="629">
        <f>F34*1.15</f>
        <v>742.9</v>
      </c>
      <c r="H34" s="236">
        <f t="shared" si="36"/>
        <v>169.28</v>
      </c>
      <c r="I34" s="235">
        <f>0.5*(H34*1.1)</f>
        <v>93.104000000000013</v>
      </c>
      <c r="J34" s="1106" t="s">
        <v>50</v>
      </c>
      <c r="K34" s="1106" t="s">
        <v>50</v>
      </c>
      <c r="L34" s="1106">
        <v>183</v>
      </c>
      <c r="M34" s="1106">
        <v>15</v>
      </c>
      <c r="N34" s="629">
        <v>132</v>
      </c>
      <c r="O34" s="629" t="s">
        <v>50</v>
      </c>
      <c r="P34" s="629" t="s">
        <v>50</v>
      </c>
      <c r="Q34" s="629">
        <f t="shared" si="27"/>
        <v>330</v>
      </c>
      <c r="R34" s="303">
        <f t="shared" si="28"/>
        <v>660</v>
      </c>
      <c r="S34" s="643">
        <f t="shared" si="29"/>
        <v>802</v>
      </c>
      <c r="T34" s="608">
        <v>0</v>
      </c>
      <c r="U34" s="609">
        <v>93</v>
      </c>
      <c r="V34" s="608">
        <v>13</v>
      </c>
      <c r="W34" s="608">
        <v>0</v>
      </c>
      <c r="X34" s="609">
        <f t="shared" si="30"/>
        <v>106</v>
      </c>
      <c r="Y34" s="620">
        <f>2*X34</f>
        <v>212</v>
      </c>
      <c r="Z34" s="621">
        <f t="shared" si="31"/>
        <v>235</v>
      </c>
      <c r="AA34" s="612">
        <f t="shared" si="32"/>
        <v>65.72</v>
      </c>
      <c r="AB34" s="612">
        <f>Z34-I34</f>
        <v>141.89599999999999</v>
      </c>
      <c r="AC34" s="630">
        <v>306</v>
      </c>
      <c r="AD34" s="612">
        <f t="shared" ref="AD34" si="40">(33.89)+(AC34*0.2095)</f>
        <v>97.997</v>
      </c>
      <c r="AE34" s="612">
        <f>X34-U34+AD34</f>
        <v>110.997</v>
      </c>
      <c r="AF34" s="623">
        <f>2*AE34</f>
        <v>221.994</v>
      </c>
      <c r="AG34" s="624">
        <f t="shared" si="34"/>
        <v>244.994</v>
      </c>
      <c r="AH34" s="611">
        <f>AG34-I34</f>
        <v>151.88999999999999</v>
      </c>
      <c r="AI34" s="1076" t="s">
        <v>1001</v>
      </c>
      <c r="AJ34" s="1075">
        <v>86</v>
      </c>
      <c r="AK34" s="1088">
        <f>(2*AJ34)+(2*71)+(2*45)</f>
        <v>404</v>
      </c>
      <c r="AL34" s="1075">
        <f>S34-AK34</f>
        <v>398</v>
      </c>
      <c r="AM34" s="666" t="s">
        <v>113</v>
      </c>
      <c r="AN34" s="332">
        <f>153+23</f>
        <v>176</v>
      </c>
      <c r="AO34" s="236">
        <f>Z34-AN34</f>
        <v>59</v>
      </c>
      <c r="AP34" s="454"/>
      <c r="AQ34" s="271" t="s">
        <v>1000</v>
      </c>
      <c r="AR34" s="632">
        <f>H34</f>
        <v>169.28</v>
      </c>
      <c r="AS34" s="632">
        <f>Z34</f>
        <v>235</v>
      </c>
      <c r="AT34" s="632">
        <f t="shared" si="37"/>
        <v>176</v>
      </c>
      <c r="AU34" s="292">
        <f>S34-G34</f>
        <v>59.100000000000023</v>
      </c>
      <c r="AV34" s="292">
        <f t="shared" si="38"/>
        <v>398</v>
      </c>
      <c r="BE34" s="979">
        <f t="shared" si="39"/>
        <v>13</v>
      </c>
    </row>
    <row r="35" spans="1:57" s="242" customFormat="1">
      <c r="A35" s="814">
        <f t="shared" si="35"/>
        <v>14</v>
      </c>
      <c r="B35" s="780">
        <f t="shared" si="35"/>
        <v>14</v>
      </c>
      <c r="C35" s="271" t="s">
        <v>991</v>
      </c>
      <c r="D35" s="630">
        <v>395</v>
      </c>
      <c r="E35" s="877">
        <f>2*D35</f>
        <v>790</v>
      </c>
      <c r="F35" s="877">
        <f>2*360</f>
        <v>720</v>
      </c>
      <c r="G35" s="629">
        <f>F35*1.15</f>
        <v>827.99999999999989</v>
      </c>
      <c r="H35" s="236">
        <f>(E35*0.23)</f>
        <v>181.70000000000002</v>
      </c>
      <c r="I35" s="235">
        <f>0.5*(H35*1.1)</f>
        <v>99.935000000000016</v>
      </c>
      <c r="J35" s="1106" t="s">
        <v>50</v>
      </c>
      <c r="K35" s="1106" t="s">
        <v>50</v>
      </c>
      <c r="L35" s="1106">
        <v>183</v>
      </c>
      <c r="M35" s="1106">
        <v>15</v>
      </c>
      <c r="N35" s="629">
        <v>160</v>
      </c>
      <c r="O35" s="629" t="s">
        <v>50</v>
      </c>
      <c r="P35" s="629" t="s">
        <v>50</v>
      </c>
      <c r="Q35" s="629">
        <f>SUM(J35:P35)</f>
        <v>358</v>
      </c>
      <c r="R35" s="440">
        <f>2*Q35</f>
        <v>716</v>
      </c>
      <c r="S35" s="747">
        <f>R35+(2*71)</f>
        <v>858</v>
      </c>
      <c r="T35" s="608">
        <v>0</v>
      </c>
      <c r="U35" s="608">
        <v>93</v>
      </c>
      <c r="V35" s="608">
        <v>13</v>
      </c>
      <c r="W35" s="608">
        <v>6.5</v>
      </c>
      <c r="X35" s="612">
        <f>SUM(T35:W35)</f>
        <v>112.5</v>
      </c>
      <c r="Y35" s="620">
        <f>2*X35</f>
        <v>225</v>
      </c>
      <c r="Z35" s="621">
        <f>Y35+(23)</f>
        <v>248</v>
      </c>
      <c r="AA35" s="612">
        <f>Z35-H35</f>
        <v>66.299999999999983</v>
      </c>
      <c r="AB35" s="612">
        <f>Z35-I35</f>
        <v>148.065</v>
      </c>
      <c r="AC35" s="630">
        <v>306</v>
      </c>
      <c r="AD35" s="612">
        <f>(33.89)+(AC35*0.2095)</f>
        <v>97.997</v>
      </c>
      <c r="AE35" s="612">
        <f>X35-U35+AD35</f>
        <v>117.497</v>
      </c>
      <c r="AF35" s="623">
        <f>2*AE35</f>
        <v>234.994</v>
      </c>
      <c r="AG35" s="624">
        <f>AF35+(23)</f>
        <v>257.99400000000003</v>
      </c>
      <c r="AH35" s="611">
        <f>AG35-I35</f>
        <v>158.05900000000003</v>
      </c>
      <c r="AI35" s="1076" t="s">
        <v>1002</v>
      </c>
      <c r="AJ35" s="1075">
        <v>90</v>
      </c>
      <c r="AK35" s="1075">
        <f>2*AJ35+(2*71)+(2*45)</f>
        <v>412</v>
      </c>
      <c r="AL35" s="1075">
        <f>S35-AK35</f>
        <v>446</v>
      </c>
      <c r="AM35" s="611">
        <v>15</v>
      </c>
      <c r="AN35" s="332">
        <f>89+23+AM35</f>
        <v>127</v>
      </c>
      <c r="AO35" s="236">
        <f>Z35-AN35</f>
        <v>121</v>
      </c>
      <c r="AP35" s="454"/>
      <c r="AQ35" s="271" t="s">
        <v>795</v>
      </c>
      <c r="AR35" s="632">
        <f>H35</f>
        <v>181.70000000000002</v>
      </c>
      <c r="AS35" s="632">
        <f>Z35</f>
        <v>248</v>
      </c>
      <c r="AT35" s="632">
        <f t="shared" si="37"/>
        <v>127</v>
      </c>
      <c r="AU35" s="292">
        <f>S35-G35</f>
        <v>30.000000000000114</v>
      </c>
      <c r="AV35" s="292">
        <f t="shared" si="38"/>
        <v>446</v>
      </c>
      <c r="BE35" s="979">
        <f t="shared" si="39"/>
        <v>14</v>
      </c>
    </row>
    <row r="36" spans="1:57" ht="15" customHeight="1">
      <c r="A36" s="801"/>
      <c r="B36" s="336"/>
      <c r="C36" s="1616" t="s">
        <v>987</v>
      </c>
      <c r="D36" s="1530" t="s">
        <v>988</v>
      </c>
      <c r="E36" s="1399"/>
      <c r="F36" s="1617" t="s">
        <v>989</v>
      </c>
      <c r="G36" s="1626" t="s">
        <v>851</v>
      </c>
      <c r="H36" s="1637" t="s">
        <v>190</v>
      </c>
      <c r="I36" s="1564"/>
      <c r="J36" s="1493"/>
      <c r="K36" s="1493"/>
      <c r="L36" s="1493" t="s">
        <v>153</v>
      </c>
      <c r="M36" s="1621" t="s">
        <v>993</v>
      </c>
      <c r="N36" s="1493" t="s">
        <v>188</v>
      </c>
      <c r="O36" s="1493" t="s">
        <v>161</v>
      </c>
      <c r="P36" s="1589" t="s">
        <v>994</v>
      </c>
      <c r="Q36" s="849"/>
      <c r="R36" s="262"/>
      <c r="S36" s="1624" t="s">
        <v>1166</v>
      </c>
      <c r="T36" s="1622"/>
      <c r="U36" s="1536" t="s">
        <v>162</v>
      </c>
      <c r="V36" s="1577" t="s">
        <v>147</v>
      </c>
      <c r="W36" s="1493" t="s">
        <v>996</v>
      </c>
      <c r="X36" s="40"/>
      <c r="Y36" s="89"/>
      <c r="Z36" s="1629" t="s">
        <v>1173</v>
      </c>
      <c r="AA36" s="931"/>
      <c r="AB36" s="1636" t="s">
        <v>154</v>
      </c>
      <c r="AC36" s="1627" t="s">
        <v>998</v>
      </c>
      <c r="AD36" s="1607" t="s">
        <v>997</v>
      </c>
      <c r="AE36" s="51"/>
      <c r="AF36" s="207"/>
      <c r="AG36" s="1612" t="s">
        <v>1174</v>
      </c>
      <c r="AH36" s="1530"/>
      <c r="AI36" s="846"/>
      <c r="AJ36" s="1610" t="s">
        <v>1154</v>
      </c>
      <c r="AK36" s="1604"/>
      <c r="AL36" s="1595" t="s">
        <v>1</v>
      </c>
      <c r="AM36" s="104"/>
      <c r="AN36" s="1611" t="s">
        <v>47</v>
      </c>
      <c r="AO36" s="61"/>
      <c r="AP36" s="1606"/>
      <c r="AQ36" s="1602" t="s">
        <v>1003</v>
      </c>
      <c r="AR36" s="267"/>
      <c r="BE36" s="242"/>
    </row>
    <row r="37" spans="1:57">
      <c r="A37" s="801"/>
      <c r="B37" s="336"/>
      <c r="C37" s="1616"/>
      <c r="D37" s="1431"/>
      <c r="E37" s="1399"/>
      <c r="F37" s="1618"/>
      <c r="G37" s="1626"/>
      <c r="H37" s="1637"/>
      <c r="I37" s="1638"/>
      <c r="J37" s="1623"/>
      <c r="K37" s="1532"/>
      <c r="L37" s="1532"/>
      <c r="M37" s="1621"/>
      <c r="N37" s="1385"/>
      <c r="O37" s="1532"/>
      <c r="P37" s="1590"/>
      <c r="Q37" s="849"/>
      <c r="R37" s="262"/>
      <c r="S37" s="1625"/>
      <c r="T37" s="1622"/>
      <c r="U37" s="1385"/>
      <c r="V37" s="1385"/>
      <c r="W37" s="1385"/>
      <c r="X37" s="40"/>
      <c r="Y37" s="89"/>
      <c r="Z37" s="1630"/>
      <c r="AA37" s="932"/>
      <c r="AB37" s="1636"/>
      <c r="AC37" s="1628"/>
      <c r="AD37" s="1608"/>
      <c r="AE37" s="51"/>
      <c r="AF37" s="208"/>
      <c r="AG37" s="1613"/>
      <c r="AH37" s="1609"/>
      <c r="AI37" s="848"/>
      <c r="AJ37" s="1610"/>
      <c r="AK37" s="1605"/>
      <c r="AL37" s="1399"/>
      <c r="AM37" s="104"/>
      <c r="AN37" s="1565"/>
      <c r="AO37" s="61"/>
      <c r="AP37" s="1606"/>
      <c r="AQ37" s="1603"/>
      <c r="AR37" s="267"/>
    </row>
    <row r="38" spans="1:57">
      <c r="A38" s="801"/>
      <c r="B38" s="336"/>
      <c r="C38" s="1616"/>
      <c r="D38" s="1431"/>
      <c r="E38" s="1399"/>
      <c r="F38" s="1618"/>
      <c r="G38" s="1626"/>
      <c r="H38" s="1637"/>
      <c r="I38" s="1638"/>
      <c r="J38" s="1623"/>
      <c r="K38" s="1532"/>
      <c r="L38" s="1532"/>
      <c r="M38" s="1621"/>
      <c r="N38" s="1385"/>
      <c r="O38" s="1532"/>
      <c r="P38" s="1590"/>
      <c r="Q38" s="849"/>
      <c r="R38" s="262"/>
      <c r="S38" s="1625"/>
      <c r="T38" s="1622"/>
      <c r="U38" s="1385"/>
      <c r="V38" s="1385"/>
      <c r="W38" s="1385"/>
      <c r="X38" s="40"/>
      <c r="Y38" s="89"/>
      <c r="Z38" s="1630"/>
      <c r="AA38" s="932"/>
      <c r="AB38" s="1636"/>
      <c r="AC38" s="1628"/>
      <c r="AD38" s="1608"/>
      <c r="AE38" s="51"/>
      <c r="AF38" s="208"/>
      <c r="AG38" s="1613"/>
      <c r="AH38" s="1609"/>
      <c r="AI38" s="848"/>
      <c r="AJ38" s="1610"/>
      <c r="AK38" s="1605"/>
      <c r="AL38" s="1399"/>
      <c r="AM38" s="104"/>
      <c r="AN38" s="1565"/>
      <c r="AO38" s="61"/>
      <c r="AP38" s="1606"/>
      <c r="AQ38" s="1603"/>
      <c r="AR38" s="267"/>
    </row>
    <row r="39" spans="1:57">
      <c r="A39" s="801"/>
      <c r="B39" s="336"/>
      <c r="C39" s="1616"/>
      <c r="D39" s="1431"/>
      <c r="E39" s="1399"/>
      <c r="F39" s="1618"/>
      <c r="G39" s="1626"/>
      <c r="H39" s="1637"/>
      <c r="I39" s="1638"/>
      <c r="J39" s="1623"/>
      <c r="K39" s="1532"/>
      <c r="L39" s="1532"/>
      <c r="M39" s="1621"/>
      <c r="N39" s="1385"/>
      <c r="O39" s="1532"/>
      <c r="P39" s="1590"/>
      <c r="Q39" s="849"/>
      <c r="R39" s="262"/>
      <c r="S39" s="1625"/>
      <c r="T39" s="1622"/>
      <c r="U39" s="1385"/>
      <c r="V39" s="1385"/>
      <c r="W39" s="1385"/>
      <c r="X39" s="40"/>
      <c r="Y39" s="89"/>
      <c r="Z39" s="1630"/>
      <c r="AA39" s="932"/>
      <c r="AB39" s="1636"/>
      <c r="AC39" s="1628"/>
      <c r="AD39" s="1608"/>
      <c r="AE39" s="51"/>
      <c r="AF39" s="208"/>
      <c r="AG39" s="1613"/>
      <c r="AH39" s="1609"/>
      <c r="AI39" s="848"/>
      <c r="AJ39" s="1610"/>
      <c r="AK39" s="1605"/>
      <c r="AL39" s="1399"/>
      <c r="AM39" s="104"/>
      <c r="AN39" s="1565"/>
      <c r="AO39" s="61"/>
      <c r="AP39" s="1606"/>
      <c r="AQ39" s="1603"/>
      <c r="AR39" s="267"/>
    </row>
    <row r="40" spans="1:57">
      <c r="A40" s="801"/>
      <c r="B40" s="336"/>
      <c r="C40" s="1616"/>
      <c r="D40" s="1431"/>
      <c r="E40" s="1399"/>
      <c r="F40" s="1618"/>
      <c r="G40" s="1626"/>
      <c r="H40" s="1637"/>
      <c r="I40" s="1638"/>
      <c r="J40" s="1623"/>
      <c r="K40" s="1532"/>
      <c r="L40" s="1532"/>
      <c r="M40" s="1621"/>
      <c r="N40" s="1385"/>
      <c r="O40" s="1532"/>
      <c r="P40" s="1590"/>
      <c r="Q40" s="849"/>
      <c r="R40" s="262"/>
      <c r="S40" s="1625"/>
      <c r="T40" s="1622"/>
      <c r="U40" s="1385"/>
      <c r="V40" s="1385"/>
      <c r="W40" s="1385"/>
      <c r="X40" s="40"/>
      <c r="Y40" s="89"/>
      <c r="Z40" s="1630"/>
      <c r="AA40" s="932"/>
      <c r="AB40" s="1636"/>
      <c r="AC40" s="1628"/>
      <c r="AD40" s="1608"/>
      <c r="AE40" s="51"/>
      <c r="AF40" s="209"/>
      <c r="AG40" s="1613"/>
      <c r="AH40" s="1609"/>
      <c r="AI40" s="848"/>
      <c r="AJ40" s="1610"/>
      <c r="AK40" s="1605"/>
      <c r="AL40" s="1399"/>
      <c r="AM40" s="104"/>
      <c r="AN40" s="1565"/>
      <c r="AO40" s="61"/>
      <c r="AP40" s="1606"/>
      <c r="AQ40" s="1603"/>
      <c r="AR40" s="267"/>
    </row>
    <row r="41" spans="1:57">
      <c r="A41" s="801"/>
      <c r="B41" s="336"/>
      <c r="C41" s="1616"/>
      <c r="D41" s="1431"/>
      <c r="E41" s="1399"/>
      <c r="F41" s="1618"/>
      <c r="G41" s="1626"/>
      <c r="H41" s="1637"/>
      <c r="I41" s="1638"/>
      <c r="J41" s="1623"/>
      <c r="K41" s="1532"/>
      <c r="L41" s="1532"/>
      <c r="M41" s="1621"/>
      <c r="N41" s="1385"/>
      <c r="O41" s="1532"/>
      <c r="P41" s="1590"/>
      <c r="Q41" s="849"/>
      <c r="R41" s="262"/>
      <c r="S41" s="1625"/>
      <c r="T41" s="1622"/>
      <c r="U41" s="1385"/>
      <c r="V41" s="1385"/>
      <c r="W41" s="1385"/>
      <c r="X41" s="40"/>
      <c r="Y41" s="89"/>
      <c r="Z41" s="1630"/>
      <c r="AA41" s="932"/>
      <c r="AB41" s="1636"/>
      <c r="AC41" s="1628"/>
      <c r="AD41" s="1608"/>
      <c r="AE41" s="51"/>
      <c r="AF41" s="209"/>
      <c r="AG41" s="1613"/>
      <c r="AH41" s="1609"/>
      <c r="AI41" s="848"/>
      <c r="AJ41" s="1610"/>
      <c r="AK41" s="1605"/>
      <c r="AL41" s="1399"/>
      <c r="AM41" s="104"/>
      <c r="AN41" s="1565"/>
      <c r="AO41" s="61"/>
      <c r="AP41" s="1606"/>
      <c r="AQ41" s="1603"/>
      <c r="AR41" s="267"/>
    </row>
    <row r="42" spans="1:57">
      <c r="A42" s="801"/>
      <c r="B42" s="336"/>
      <c r="C42" s="1616"/>
      <c r="D42" s="1431"/>
      <c r="E42" s="1399"/>
      <c r="F42" s="1618"/>
      <c r="G42" s="1626"/>
      <c r="H42" s="1637"/>
      <c r="I42" s="1638"/>
      <c r="J42" s="1623"/>
      <c r="K42" s="1532"/>
      <c r="L42" s="1532"/>
      <c r="M42" s="1621"/>
      <c r="N42" s="1385"/>
      <c r="O42" s="1532"/>
      <c r="P42" s="1590"/>
      <c r="Q42" s="849"/>
      <c r="R42" s="262"/>
      <c r="S42" s="1625"/>
      <c r="T42" s="1622"/>
      <c r="U42" s="1385"/>
      <c r="V42" s="1385"/>
      <c r="W42" s="1385"/>
      <c r="X42" s="40"/>
      <c r="Y42" s="89"/>
      <c r="Z42" s="1630"/>
      <c r="AA42" s="932"/>
      <c r="AB42" s="1636"/>
      <c r="AC42" s="1628"/>
      <c r="AD42" s="1608"/>
      <c r="AE42" s="51"/>
      <c r="AF42" s="209"/>
      <c r="AG42" s="1613"/>
      <c r="AH42" s="1609"/>
      <c r="AI42" s="848"/>
      <c r="AJ42" s="1610"/>
      <c r="AK42" s="1605"/>
      <c r="AL42" s="1399"/>
      <c r="AM42" s="104"/>
      <c r="AN42" s="1565"/>
      <c r="AO42" s="61"/>
      <c r="AP42" s="1606"/>
      <c r="AQ42" s="1603"/>
      <c r="AR42" s="267"/>
    </row>
    <row r="43" spans="1:57">
      <c r="A43" s="801"/>
      <c r="B43" s="336"/>
      <c r="C43" s="1616"/>
      <c r="D43" s="1431"/>
      <c r="E43" s="1399"/>
      <c r="F43" s="1618"/>
      <c r="G43" s="1626"/>
      <c r="H43" s="1637"/>
      <c r="I43" s="1638"/>
      <c r="J43" s="1623"/>
      <c r="K43" s="1532"/>
      <c r="L43" s="1532"/>
      <c r="M43" s="1621"/>
      <c r="N43" s="1385"/>
      <c r="O43" s="1532"/>
      <c r="P43" s="1590"/>
      <c r="Q43" s="849"/>
      <c r="R43" s="262"/>
      <c r="S43" s="1625"/>
      <c r="T43" s="1622"/>
      <c r="U43" s="1385"/>
      <c r="V43" s="1385"/>
      <c r="W43" s="1385"/>
      <c r="X43" s="40"/>
      <c r="Y43" s="89"/>
      <c r="Z43" s="1630"/>
      <c r="AA43" s="932"/>
      <c r="AB43" s="1636"/>
      <c r="AC43" s="1628"/>
      <c r="AD43" s="1608"/>
      <c r="AE43" s="51"/>
      <c r="AF43" s="209"/>
      <c r="AG43" s="1613"/>
      <c r="AH43" s="1609"/>
      <c r="AI43" s="848"/>
      <c r="AJ43" s="1610"/>
      <c r="AK43" s="1605"/>
      <c r="AL43" s="1399"/>
      <c r="AM43" s="104"/>
      <c r="AN43" s="1565"/>
      <c r="AO43" s="61"/>
      <c r="AP43" s="1606"/>
      <c r="AQ43" s="1603"/>
      <c r="AR43" s="267"/>
    </row>
    <row r="44" spans="1:57">
      <c r="A44" s="801"/>
      <c r="B44" s="336"/>
      <c r="C44" s="1616"/>
      <c r="D44" s="1431"/>
      <c r="E44" s="1399"/>
      <c r="F44" s="1618"/>
      <c r="G44" s="1626"/>
      <c r="H44" s="1637"/>
      <c r="I44" s="1638"/>
      <c r="J44" s="1623"/>
      <c r="K44" s="1532"/>
      <c r="L44" s="1532"/>
      <c r="M44" s="1621"/>
      <c r="N44" s="1385"/>
      <c r="O44" s="1532"/>
      <c r="P44" s="1590"/>
      <c r="Q44" s="849"/>
      <c r="R44" s="262"/>
      <c r="S44" s="1625"/>
      <c r="T44" s="1622"/>
      <c r="U44" s="1385"/>
      <c r="V44" s="1385"/>
      <c r="W44" s="1385"/>
      <c r="X44" s="40"/>
      <c r="Y44" s="89"/>
      <c r="Z44" s="1630"/>
      <c r="AA44" s="114" t="s">
        <v>82</v>
      </c>
      <c r="AB44" s="1636"/>
      <c r="AC44" s="1628"/>
      <c r="AD44" s="1608"/>
      <c r="AE44" s="51"/>
      <c r="AF44" s="209"/>
      <c r="AG44" s="1613"/>
      <c r="AH44" s="1609"/>
      <c r="AI44" s="848"/>
      <c r="AJ44" s="1610"/>
      <c r="AK44" s="1605"/>
      <c r="AL44" s="1399"/>
      <c r="AM44" s="104"/>
      <c r="AN44" s="1565"/>
      <c r="AO44" s="61"/>
      <c r="AP44" s="1606"/>
      <c r="AQ44" s="1603"/>
      <c r="AR44" s="267"/>
    </row>
    <row r="45" spans="1:57" ht="148" customHeight="1">
      <c r="A45" s="801"/>
      <c r="B45" s="336"/>
      <c r="C45" s="1616"/>
      <c r="D45" s="1431"/>
      <c r="E45" s="1399"/>
      <c r="F45" s="1618"/>
      <c r="G45" s="1626"/>
      <c r="H45" s="1637"/>
      <c r="I45" s="1638"/>
      <c r="J45" s="1623"/>
      <c r="K45" s="1532"/>
      <c r="L45" s="1532"/>
      <c r="M45" s="1621"/>
      <c r="N45" s="1385"/>
      <c r="O45" s="1532"/>
      <c r="P45" s="1590"/>
      <c r="Q45" s="849"/>
      <c r="R45" s="262"/>
      <c r="S45" s="1625"/>
      <c r="T45" s="1622"/>
      <c r="U45" s="1385"/>
      <c r="V45" s="1385"/>
      <c r="W45" s="1385"/>
      <c r="X45" s="40"/>
      <c r="Y45" s="89"/>
      <c r="Z45" s="1630"/>
      <c r="AA45" s="932"/>
      <c r="AB45" s="1636"/>
      <c r="AC45" s="1628"/>
      <c r="AD45" s="1608"/>
      <c r="AE45" s="51"/>
      <c r="AF45" s="209"/>
      <c r="AG45" s="1613"/>
      <c r="AH45" s="1609"/>
      <c r="AI45" s="848"/>
      <c r="AJ45" s="1610"/>
      <c r="AK45" s="1605"/>
      <c r="AL45" s="1399"/>
      <c r="AM45" s="104"/>
      <c r="AN45" s="1565"/>
      <c r="AO45" s="61"/>
      <c r="AP45" s="1606"/>
      <c r="AQ45" s="1603"/>
      <c r="AR45" s="267"/>
    </row>
    <row r="46" spans="1:57" ht="15" customHeight="1">
      <c r="A46" s="801"/>
      <c r="B46" s="336"/>
      <c r="C46" s="74"/>
      <c r="D46" s="22"/>
      <c r="E46" s="22"/>
      <c r="F46" s="22"/>
      <c r="G46" s="22"/>
      <c r="H46" s="260"/>
      <c r="I46" s="142"/>
      <c r="J46" s="57"/>
      <c r="K46" s="57"/>
      <c r="L46" s="57"/>
      <c r="M46" s="57"/>
      <c r="N46" s="328"/>
      <c r="O46" s="57"/>
      <c r="P46" s="57"/>
      <c r="Q46" s="57"/>
      <c r="R46" s="72"/>
      <c r="S46" s="53"/>
      <c r="T46" s="53"/>
      <c r="U46" s="53"/>
      <c r="W46" s="585"/>
      <c r="X46" s="53"/>
      <c r="Y46" s="325"/>
      <c r="Z46" s="845"/>
      <c r="AA46" s="77"/>
      <c r="AB46" s="261"/>
      <c r="AC46" s="49"/>
      <c r="AD46" s="49"/>
      <c r="AE46" s="51"/>
      <c r="AF46" s="326"/>
      <c r="AG46" s="327"/>
      <c r="AH46" s="57"/>
      <c r="AI46" s="849"/>
      <c r="AJ46" s="24"/>
      <c r="AK46" s="324"/>
      <c r="AL46" s="104"/>
      <c r="AM46" s="104"/>
      <c r="AN46" s="1565"/>
      <c r="AO46" s="61"/>
      <c r="AP46" s="1606"/>
      <c r="AQ46" s="267"/>
      <c r="AR46" s="267"/>
      <c r="AV46" s="1278" t="s">
        <v>82</v>
      </c>
    </row>
    <row r="47" spans="1:57" s="12" customFormat="1">
      <c r="A47" s="801"/>
      <c r="B47" s="124"/>
      <c r="AB47" s="83"/>
      <c r="AI47" s="56"/>
      <c r="AL47" s="183"/>
      <c r="AM47" s="183"/>
      <c r="AP47" s="445"/>
      <c r="AQ47" s="183"/>
      <c r="AR47" s="183"/>
    </row>
    <row r="48" spans="1:57" ht="16" customHeight="1">
      <c r="A48" s="801"/>
      <c r="B48" s="337" t="s">
        <v>32</v>
      </c>
      <c r="C48" s="1568" t="s">
        <v>641</v>
      </c>
      <c r="D48" s="1568"/>
      <c r="E48" s="1568"/>
      <c r="F48" s="1568"/>
      <c r="G48" s="1568"/>
      <c r="H48" s="1568"/>
      <c r="I48" s="1568"/>
      <c r="J48" s="1568"/>
      <c r="K48" s="1568"/>
      <c r="L48" s="1568"/>
      <c r="M48" s="1568"/>
      <c r="N48" s="1568"/>
      <c r="O48" s="1568"/>
      <c r="P48" s="1568"/>
      <c r="Q48" s="1568"/>
      <c r="R48" s="1568"/>
      <c r="S48" s="1568"/>
      <c r="T48" s="1407"/>
      <c r="U48" s="1407"/>
      <c r="V48" s="1407"/>
      <c r="W48" s="1407"/>
      <c r="X48" s="1407"/>
      <c r="Y48" s="1407"/>
      <c r="Z48" s="1407"/>
      <c r="AA48" s="1407"/>
      <c r="AB48" s="1407"/>
      <c r="AC48" s="1407"/>
      <c r="AD48" s="1407"/>
      <c r="AE48" s="1407"/>
      <c r="AF48" s="1407"/>
      <c r="AG48" s="1407"/>
      <c r="AH48" s="1407"/>
      <c r="AI48" s="924"/>
      <c r="AJ48" s="75"/>
      <c r="AK48" s="75"/>
      <c r="AL48" s="106"/>
      <c r="AM48" s="106"/>
      <c r="AN48" s="189"/>
      <c r="AO48" s="189"/>
      <c r="AP48" s="456"/>
    </row>
    <row r="49" spans="1:57" s="1184" customFormat="1" ht="30" customHeight="1">
      <c r="A49" s="1134"/>
      <c r="B49" s="1176"/>
      <c r="C49" s="503" t="s">
        <v>116</v>
      </c>
      <c r="D49" s="1587" t="s">
        <v>28</v>
      </c>
      <c r="E49" s="1588"/>
      <c r="F49" s="1588"/>
      <c r="G49" s="1588"/>
      <c r="H49" s="1588"/>
      <c r="I49" s="1579"/>
      <c r="J49" s="1571" t="s">
        <v>104</v>
      </c>
      <c r="K49" s="1601"/>
      <c r="L49" s="1601"/>
      <c r="M49" s="1601"/>
      <c r="N49" s="1601"/>
      <c r="O49" s="1601"/>
      <c r="P49" s="1601"/>
      <c r="Q49" s="1601"/>
      <c r="R49" s="1561" t="s">
        <v>22</v>
      </c>
      <c r="S49" s="1562"/>
      <c r="T49" s="1516" t="s">
        <v>136</v>
      </c>
      <c r="U49" s="1517"/>
      <c r="V49" s="1517"/>
      <c r="W49" s="1517"/>
      <c r="X49" s="1517"/>
      <c r="Y49" s="1514" t="s">
        <v>126</v>
      </c>
      <c r="Z49" s="1515"/>
      <c r="AA49" s="1197"/>
      <c r="AB49" s="1198"/>
      <c r="AC49" s="1538" t="s">
        <v>101</v>
      </c>
      <c r="AD49" s="1539"/>
      <c r="AE49" s="1539"/>
      <c r="AF49" s="1518" t="s">
        <v>23</v>
      </c>
      <c r="AG49" s="1519"/>
      <c r="AH49" s="1199"/>
      <c r="AI49" s="1191"/>
      <c r="AJ49" s="1510" t="s">
        <v>25</v>
      </c>
      <c r="AK49" s="1512"/>
      <c r="AL49" s="1512"/>
      <c r="AM49" s="1512"/>
      <c r="AN49" s="1513"/>
      <c r="AO49" s="1180"/>
      <c r="AP49" s="1200"/>
      <c r="AQ49" s="1183"/>
      <c r="AR49" s="1183"/>
      <c r="AV49" s="1319" t="s">
        <v>82</v>
      </c>
    </row>
    <row r="50" spans="1:57" s="4" customFormat="1">
      <c r="A50" s="815"/>
      <c r="B50" s="124"/>
      <c r="C50" s="507"/>
      <c r="D50" s="197">
        <v>1</v>
      </c>
      <c r="E50" s="198">
        <v>2</v>
      </c>
      <c r="F50" s="198">
        <v>3</v>
      </c>
      <c r="G50" s="198">
        <f>F50+1</f>
        <v>4</v>
      </c>
      <c r="H50" s="198">
        <f>G50+1</f>
        <v>5</v>
      </c>
      <c r="I50" s="198">
        <f>H50+1</f>
        <v>6</v>
      </c>
      <c r="J50" s="198">
        <f>I50+1</f>
        <v>7</v>
      </c>
      <c r="K50" s="198">
        <f t="shared" ref="K50:Q50" si="41">J50+1</f>
        <v>8</v>
      </c>
      <c r="L50" s="198">
        <f t="shared" si="41"/>
        <v>9</v>
      </c>
      <c r="M50" s="198">
        <f t="shared" si="41"/>
        <v>10</v>
      </c>
      <c r="N50" s="198">
        <f t="shared" si="41"/>
        <v>11</v>
      </c>
      <c r="O50" s="198">
        <f t="shared" si="41"/>
        <v>12</v>
      </c>
      <c r="P50" s="198">
        <f t="shared" si="41"/>
        <v>13</v>
      </c>
      <c r="Q50" s="198">
        <f t="shared" si="41"/>
        <v>14</v>
      </c>
      <c r="R50" s="197">
        <f>Q50+1</f>
        <v>15</v>
      </c>
      <c r="S50" s="199">
        <f>R50+1</f>
        <v>16</v>
      </c>
      <c r="T50" s="197">
        <f t="shared" ref="T50:AO50" si="42">S50+1</f>
        <v>17</v>
      </c>
      <c r="U50" s="200">
        <f t="shared" si="42"/>
        <v>18</v>
      </c>
      <c r="V50" s="200">
        <f t="shared" si="42"/>
        <v>19</v>
      </c>
      <c r="W50" s="200">
        <f t="shared" si="42"/>
        <v>20</v>
      </c>
      <c r="X50" s="199">
        <f t="shared" si="42"/>
        <v>21</v>
      </c>
      <c r="Y50" s="933">
        <f t="shared" si="42"/>
        <v>22</v>
      </c>
      <c r="Z50" s="934">
        <f t="shared" si="42"/>
        <v>23</v>
      </c>
      <c r="AA50" s="197">
        <f t="shared" si="42"/>
        <v>24</v>
      </c>
      <c r="AB50" s="200">
        <f t="shared" si="42"/>
        <v>25</v>
      </c>
      <c r="AC50" s="200">
        <f t="shared" si="42"/>
        <v>26</v>
      </c>
      <c r="AD50" s="200">
        <f t="shared" si="42"/>
        <v>27</v>
      </c>
      <c r="AE50" s="199">
        <f t="shared" si="42"/>
        <v>28</v>
      </c>
      <c r="AF50" s="933">
        <f t="shared" si="42"/>
        <v>29</v>
      </c>
      <c r="AG50" s="934">
        <f t="shared" si="42"/>
        <v>30</v>
      </c>
      <c r="AH50" s="197">
        <f t="shared" si="42"/>
        <v>31</v>
      </c>
      <c r="AI50" s="86">
        <f>AH50+1</f>
        <v>32</v>
      </c>
      <c r="AJ50" s="38">
        <f>AI50+1</f>
        <v>33</v>
      </c>
      <c r="AK50" s="197">
        <f t="shared" si="42"/>
        <v>34</v>
      </c>
      <c r="AL50" s="197">
        <f t="shared" si="42"/>
        <v>35</v>
      </c>
      <c r="AM50" s="38">
        <f>AL50+1</f>
        <v>36</v>
      </c>
      <c r="AN50" s="359">
        <f>AM50+1</f>
        <v>37</v>
      </c>
      <c r="AO50" s="197">
        <f t="shared" si="42"/>
        <v>38</v>
      </c>
      <c r="AP50" s="447"/>
      <c r="AQ50" s="101"/>
      <c r="AR50" s="101"/>
    </row>
    <row r="51" spans="1:57" ht="122" customHeight="1">
      <c r="A51" s="801"/>
      <c r="B51" s="463"/>
      <c r="C51" s="1068" t="s">
        <v>1004</v>
      </c>
      <c r="D51" s="1026" t="s">
        <v>655</v>
      </c>
      <c r="E51" s="1027" t="s">
        <v>656</v>
      </c>
      <c r="F51" s="1027" t="s">
        <v>407</v>
      </c>
      <c r="G51" s="1027" t="s">
        <v>667</v>
      </c>
      <c r="H51" s="418" t="s">
        <v>409</v>
      </c>
      <c r="I51" s="820" t="s">
        <v>643</v>
      </c>
      <c r="J51" s="1054" t="s">
        <v>658</v>
      </c>
      <c r="K51" s="1054" t="s">
        <v>1009</v>
      </c>
      <c r="L51" s="1054" t="s">
        <v>668</v>
      </c>
      <c r="M51" s="1104" t="s">
        <v>669</v>
      </c>
      <c r="N51" s="1054" t="s">
        <v>660</v>
      </c>
      <c r="O51" s="1054" t="s">
        <v>670</v>
      </c>
      <c r="P51" s="1054" t="s">
        <v>14</v>
      </c>
      <c r="Q51" s="1104" t="s">
        <v>418</v>
      </c>
      <c r="R51" s="179" t="s">
        <v>447</v>
      </c>
      <c r="S51" s="322" t="s">
        <v>448</v>
      </c>
      <c r="T51" s="1201" t="s">
        <v>1012</v>
      </c>
      <c r="U51" s="1101" t="s">
        <v>1013</v>
      </c>
      <c r="V51" s="1101" t="s">
        <v>671</v>
      </c>
      <c r="W51" s="1101" t="s">
        <v>672</v>
      </c>
      <c r="X51" s="1101" t="s">
        <v>673</v>
      </c>
      <c r="Y51" s="175" t="s">
        <v>425</v>
      </c>
      <c r="Z51" s="545" t="s">
        <v>520</v>
      </c>
      <c r="AA51" s="819" t="s">
        <v>650</v>
      </c>
      <c r="AB51" s="819" t="s">
        <v>428</v>
      </c>
      <c r="AC51" s="1026" t="s">
        <v>429</v>
      </c>
      <c r="AD51" s="819" t="s">
        <v>674</v>
      </c>
      <c r="AE51" s="819" t="s">
        <v>431</v>
      </c>
      <c r="AF51" s="154" t="s">
        <v>432</v>
      </c>
      <c r="AG51" s="568" t="s">
        <v>639</v>
      </c>
      <c r="AH51" s="819" t="s">
        <v>434</v>
      </c>
      <c r="AI51" s="1026" t="s">
        <v>346</v>
      </c>
      <c r="AJ51" s="1032" t="s">
        <v>435</v>
      </c>
      <c r="AK51" s="1111" t="s">
        <v>0</v>
      </c>
      <c r="AL51" s="1162" t="s">
        <v>27</v>
      </c>
      <c r="AM51" s="819" t="s">
        <v>402</v>
      </c>
      <c r="AN51" s="820" t="s">
        <v>343</v>
      </c>
      <c r="AO51" s="570" t="s">
        <v>436</v>
      </c>
      <c r="AP51" s="446"/>
      <c r="AQ51" s="1068" t="s">
        <v>1004</v>
      </c>
      <c r="AR51" s="418" t="s">
        <v>438</v>
      </c>
      <c r="AS51" s="418" t="s">
        <v>531</v>
      </c>
      <c r="AT51" s="361" t="s">
        <v>440</v>
      </c>
      <c r="AU51" s="861" t="s">
        <v>403</v>
      </c>
      <c r="AV51" s="861" t="s">
        <v>746</v>
      </c>
      <c r="BE51" s="978" t="s">
        <v>779</v>
      </c>
    </row>
    <row r="52" spans="1:57" s="147" customFormat="1">
      <c r="A52" s="814">
        <f>A35+1</f>
        <v>15</v>
      </c>
      <c r="B52" s="780">
        <f>B35+1</f>
        <v>15</v>
      </c>
      <c r="C52" s="271" t="s">
        <v>165</v>
      </c>
      <c r="D52" s="630">
        <v>403</v>
      </c>
      <c r="E52" s="877">
        <f t="shared" ref="E52:E55" si="43">2*D52</f>
        <v>806</v>
      </c>
      <c r="F52" s="877">
        <f>(2*357)</f>
        <v>714</v>
      </c>
      <c r="G52" s="629">
        <f t="shared" ref="G52:G55" si="44">F52*1.15</f>
        <v>821.09999999999991</v>
      </c>
      <c r="H52" s="236">
        <f t="shared" ref="H52:H55" si="45">(E52*0.23)</f>
        <v>185.38</v>
      </c>
      <c r="I52" s="235">
        <f t="shared" ref="I52:I55" si="46">0.5*(H52*1.1)</f>
        <v>101.959</v>
      </c>
      <c r="J52" s="1106" t="s">
        <v>50</v>
      </c>
      <c r="K52" s="1106" t="s">
        <v>50</v>
      </c>
      <c r="L52" s="1106">
        <v>183</v>
      </c>
      <c r="M52" s="1106">
        <v>15</v>
      </c>
      <c r="N52" s="1106">
        <v>160</v>
      </c>
      <c r="O52" s="1106">
        <v>15</v>
      </c>
      <c r="P52" s="1106">
        <v>81</v>
      </c>
      <c r="Q52" s="1106">
        <f t="shared" ref="Q52:Q55" si="47">SUM(J52:P52)</f>
        <v>454</v>
      </c>
      <c r="R52" s="440">
        <f t="shared" ref="R52:R55" si="48">2*Q52</f>
        <v>908</v>
      </c>
      <c r="S52" s="747">
        <f t="shared" ref="S52:S55" si="49">R52+(2*71)</f>
        <v>1050</v>
      </c>
      <c r="T52" s="773" t="s">
        <v>50</v>
      </c>
      <c r="U52" s="608">
        <v>93</v>
      </c>
      <c r="V52" s="608">
        <v>13</v>
      </c>
      <c r="W52" s="608">
        <v>1.75</v>
      </c>
      <c r="X52" s="612">
        <f t="shared" ref="X52:X55" si="50">SUM(T52:W52)</f>
        <v>107.75</v>
      </c>
      <c r="Y52" s="620">
        <f t="shared" ref="Y52:Y55" si="51">2*X52</f>
        <v>215.5</v>
      </c>
      <c r="Z52" s="621">
        <f t="shared" ref="Z52:Z55" si="52">Y52+(23)</f>
        <v>238.5</v>
      </c>
      <c r="AA52" s="612">
        <f t="shared" ref="AA52:AA55" si="53">Z52-H52</f>
        <v>53.120000000000005</v>
      </c>
      <c r="AB52" s="612">
        <f t="shared" ref="AB52:AB55" si="54">Z52-I52</f>
        <v>136.541</v>
      </c>
      <c r="AC52" s="874">
        <v>306</v>
      </c>
      <c r="AD52" s="612">
        <f t="shared" ref="AD52:AD55" si="55">(33.89)+(AC52*0.2095)</f>
        <v>97.997</v>
      </c>
      <c r="AE52" s="612">
        <f t="shared" ref="AE52:AE55" si="56">X52-U52+AD52</f>
        <v>112.747</v>
      </c>
      <c r="AF52" s="251">
        <f t="shared" ref="AF52:AF55" si="57">2*AE52</f>
        <v>225.494</v>
      </c>
      <c r="AG52" s="252">
        <f t="shared" ref="AG52:AG55" si="58">AF52+(23)</f>
        <v>248.494</v>
      </c>
      <c r="AH52" s="611">
        <f t="shared" ref="AH52:AH55" si="59">AG52-I52</f>
        <v>146.535</v>
      </c>
      <c r="AI52" s="920" t="s">
        <v>1017</v>
      </c>
      <c r="AJ52" s="232">
        <v>88</v>
      </c>
      <c r="AK52" s="234">
        <f>2*AJ52+(2*71)+(2*45)</f>
        <v>408</v>
      </c>
      <c r="AL52" s="234">
        <f>S52-AK52</f>
        <v>642</v>
      </c>
      <c r="AM52" s="666" t="s">
        <v>113</v>
      </c>
      <c r="AN52" s="235">
        <f>(149)+23</f>
        <v>172</v>
      </c>
      <c r="AO52" s="236">
        <f>Z52-AN52</f>
        <v>66.5</v>
      </c>
      <c r="AP52" s="454"/>
      <c r="AQ52" s="271" t="s">
        <v>767</v>
      </c>
      <c r="AR52" s="632">
        <f>H52</f>
        <v>185.38</v>
      </c>
      <c r="AS52" s="632">
        <f>Z52</f>
        <v>238.5</v>
      </c>
      <c r="AT52" s="632">
        <f>AN52</f>
        <v>172</v>
      </c>
      <c r="AU52" s="292">
        <f>S52-G52</f>
        <v>228.90000000000009</v>
      </c>
      <c r="AV52" s="292">
        <f>AL52</f>
        <v>642</v>
      </c>
      <c r="BE52" s="979">
        <f>B52</f>
        <v>15</v>
      </c>
    </row>
    <row r="53" spans="1:57" s="147" customFormat="1">
      <c r="A53" s="814">
        <f t="shared" ref="A53:B55" si="60">A52+1</f>
        <v>16</v>
      </c>
      <c r="B53" s="780">
        <f t="shared" si="60"/>
        <v>16</v>
      </c>
      <c r="C53" s="271" t="s">
        <v>166</v>
      </c>
      <c r="D53" s="630">
        <v>411</v>
      </c>
      <c r="E53" s="877">
        <f t="shared" si="43"/>
        <v>822</v>
      </c>
      <c r="F53" s="877">
        <f>(2*360)</f>
        <v>720</v>
      </c>
      <c r="G53" s="629">
        <f t="shared" si="44"/>
        <v>827.99999999999989</v>
      </c>
      <c r="H53" s="236">
        <f t="shared" si="45"/>
        <v>189.06</v>
      </c>
      <c r="I53" s="235">
        <f t="shared" si="46"/>
        <v>103.983</v>
      </c>
      <c r="J53" s="1106" t="s">
        <v>50</v>
      </c>
      <c r="K53" s="1106" t="s">
        <v>50</v>
      </c>
      <c r="L53" s="1106">
        <v>183</v>
      </c>
      <c r="M53" s="1106">
        <v>15</v>
      </c>
      <c r="N53" s="1106">
        <v>160</v>
      </c>
      <c r="O53" s="1106">
        <v>15</v>
      </c>
      <c r="P53" s="1106">
        <v>39</v>
      </c>
      <c r="Q53" s="1106">
        <f t="shared" si="47"/>
        <v>412</v>
      </c>
      <c r="R53" s="440">
        <f t="shared" si="48"/>
        <v>824</v>
      </c>
      <c r="S53" s="747">
        <f t="shared" si="49"/>
        <v>966</v>
      </c>
      <c r="T53" s="773" t="s">
        <v>50</v>
      </c>
      <c r="U53" s="608">
        <v>93</v>
      </c>
      <c r="V53" s="608">
        <v>13</v>
      </c>
      <c r="W53" s="608">
        <v>8.75</v>
      </c>
      <c r="X53" s="612">
        <f t="shared" si="50"/>
        <v>114.75</v>
      </c>
      <c r="Y53" s="620">
        <f t="shared" si="51"/>
        <v>229.5</v>
      </c>
      <c r="Z53" s="621">
        <f t="shared" si="52"/>
        <v>252.5</v>
      </c>
      <c r="AA53" s="612">
        <f t="shared" si="53"/>
        <v>63.44</v>
      </c>
      <c r="AB53" s="612">
        <f t="shared" si="54"/>
        <v>148.517</v>
      </c>
      <c r="AC53" s="874">
        <v>306</v>
      </c>
      <c r="AD53" s="612">
        <f t="shared" si="55"/>
        <v>97.997</v>
      </c>
      <c r="AE53" s="612">
        <f t="shared" si="56"/>
        <v>119.747</v>
      </c>
      <c r="AF53" s="251">
        <f t="shared" si="57"/>
        <v>239.494</v>
      </c>
      <c r="AG53" s="252">
        <f t="shared" si="58"/>
        <v>262.49400000000003</v>
      </c>
      <c r="AH53" s="611">
        <f t="shared" si="59"/>
        <v>158.51100000000002</v>
      </c>
      <c r="AI53" s="890" t="s">
        <v>1002</v>
      </c>
      <c r="AJ53" s="233">
        <v>90</v>
      </c>
      <c r="AK53" s="272">
        <f>2*AJ53+(2*71)+(2*45)</f>
        <v>412</v>
      </c>
      <c r="AL53" s="234">
        <f>S53-AK53</f>
        <v>554</v>
      </c>
      <c r="AM53" s="611">
        <v>15</v>
      </c>
      <c r="AN53" s="235">
        <f>89+23+AM53</f>
        <v>127</v>
      </c>
      <c r="AO53" s="236">
        <f>Z53-AN53+AM53</f>
        <v>140.5</v>
      </c>
      <c r="AP53" s="454"/>
      <c r="AQ53" s="271" t="s">
        <v>768</v>
      </c>
      <c r="AR53" s="632">
        <f>H53</f>
        <v>189.06</v>
      </c>
      <c r="AS53" s="632">
        <f>Z53</f>
        <v>252.5</v>
      </c>
      <c r="AT53" s="632">
        <f t="shared" ref="AT53:AT55" si="61">AN53</f>
        <v>127</v>
      </c>
      <c r="AU53" s="292">
        <f>S53-G53</f>
        <v>138.00000000000011</v>
      </c>
      <c r="AV53" s="292">
        <f t="shared" ref="AV53:AV55" si="62">AL53</f>
        <v>554</v>
      </c>
      <c r="BE53" s="979">
        <f t="shared" ref="BE53:BE55" si="63">B53</f>
        <v>16</v>
      </c>
    </row>
    <row r="54" spans="1:57" s="147" customFormat="1">
      <c r="A54" s="814">
        <f t="shared" si="60"/>
        <v>17</v>
      </c>
      <c r="B54" s="780">
        <f t="shared" si="60"/>
        <v>17</v>
      </c>
      <c r="C54" s="271" t="s">
        <v>167</v>
      </c>
      <c r="D54" s="630">
        <v>460</v>
      </c>
      <c r="E54" s="629">
        <f t="shared" si="43"/>
        <v>920</v>
      </c>
      <c r="F54" s="877">
        <f>(2*422)</f>
        <v>844</v>
      </c>
      <c r="G54" s="629">
        <f t="shared" si="44"/>
        <v>970.59999999999991</v>
      </c>
      <c r="H54" s="236">
        <f t="shared" si="45"/>
        <v>211.60000000000002</v>
      </c>
      <c r="I54" s="235">
        <f t="shared" si="46"/>
        <v>116.38000000000002</v>
      </c>
      <c r="J54" s="1106" t="s">
        <v>50</v>
      </c>
      <c r="K54" s="1106" t="s">
        <v>50</v>
      </c>
      <c r="L54" s="1106">
        <f>183-44</f>
        <v>139</v>
      </c>
      <c r="M54" s="1106">
        <v>15</v>
      </c>
      <c r="N54" s="1106">
        <v>160</v>
      </c>
      <c r="O54" s="1106">
        <v>30</v>
      </c>
      <c r="P54" s="1106">
        <v>170</v>
      </c>
      <c r="Q54" s="1106">
        <f t="shared" si="47"/>
        <v>514</v>
      </c>
      <c r="R54" s="438">
        <f t="shared" si="48"/>
        <v>1028</v>
      </c>
      <c r="S54" s="746">
        <f t="shared" si="49"/>
        <v>1170</v>
      </c>
      <c r="T54" s="607" t="s">
        <v>113</v>
      </c>
      <c r="U54" s="608">
        <v>87</v>
      </c>
      <c r="V54" s="608">
        <v>13</v>
      </c>
      <c r="W54" s="608">
        <v>35.65</v>
      </c>
      <c r="X54" s="612">
        <f t="shared" si="50"/>
        <v>135.65</v>
      </c>
      <c r="Y54" s="620">
        <f t="shared" si="51"/>
        <v>271.3</v>
      </c>
      <c r="Z54" s="621">
        <f t="shared" si="52"/>
        <v>294.3</v>
      </c>
      <c r="AA54" s="625">
        <f t="shared" si="53"/>
        <v>82.699999999999989</v>
      </c>
      <c r="AB54" s="612">
        <f t="shared" si="54"/>
        <v>177.92</v>
      </c>
      <c r="AC54" s="629">
        <f>306-48</f>
        <v>258</v>
      </c>
      <c r="AD54" s="612">
        <f t="shared" si="55"/>
        <v>87.941000000000003</v>
      </c>
      <c r="AE54" s="612">
        <f t="shared" si="56"/>
        <v>136.59100000000001</v>
      </c>
      <c r="AF54" s="251">
        <f t="shared" si="57"/>
        <v>273.18200000000002</v>
      </c>
      <c r="AG54" s="252">
        <f t="shared" si="58"/>
        <v>296.18200000000002</v>
      </c>
      <c r="AH54" s="611">
        <f t="shared" si="59"/>
        <v>179.80199999999999</v>
      </c>
      <c r="AI54" s="890" t="s">
        <v>1018</v>
      </c>
      <c r="AJ54" s="233">
        <v>84</v>
      </c>
      <c r="AK54" s="234">
        <f>2*AJ54+(2*71)+(2*45)</f>
        <v>400</v>
      </c>
      <c r="AL54" s="234">
        <f>S54-AK54</f>
        <v>770</v>
      </c>
      <c r="AM54" s="666" t="s">
        <v>113</v>
      </c>
      <c r="AN54" s="235">
        <f>(194)+(23)</f>
        <v>217</v>
      </c>
      <c r="AO54" s="236">
        <f>Z54-AN54</f>
        <v>77.300000000000011</v>
      </c>
      <c r="AP54" s="453"/>
      <c r="AQ54" s="271" t="s">
        <v>114</v>
      </c>
      <c r="AR54" s="632">
        <f>H54</f>
        <v>211.60000000000002</v>
      </c>
      <c r="AS54" s="632">
        <f>Z54</f>
        <v>294.3</v>
      </c>
      <c r="AT54" s="632">
        <f t="shared" si="61"/>
        <v>217</v>
      </c>
      <c r="AU54" s="292">
        <f>S54-G54</f>
        <v>199.40000000000009</v>
      </c>
      <c r="AV54" s="292">
        <f t="shared" si="62"/>
        <v>770</v>
      </c>
      <c r="BE54" s="979">
        <f t="shared" si="63"/>
        <v>17</v>
      </c>
    </row>
    <row r="55" spans="1:57" s="242" customFormat="1">
      <c r="A55" s="814">
        <f t="shared" si="60"/>
        <v>18</v>
      </c>
      <c r="B55" s="780">
        <f t="shared" si="60"/>
        <v>18</v>
      </c>
      <c r="C55" s="271" t="s">
        <v>186</v>
      </c>
      <c r="D55" s="630">
        <v>490</v>
      </c>
      <c r="E55" s="629">
        <f t="shared" si="43"/>
        <v>980</v>
      </c>
      <c r="F55" s="877">
        <f>(2*452)</f>
        <v>904</v>
      </c>
      <c r="G55" s="875">
        <f t="shared" si="44"/>
        <v>1039.5999999999999</v>
      </c>
      <c r="H55" s="236">
        <f t="shared" si="45"/>
        <v>225.4</v>
      </c>
      <c r="I55" s="235">
        <f t="shared" si="46"/>
        <v>123.97000000000001</v>
      </c>
      <c r="J55" s="1106">
        <f>12+10</f>
        <v>22</v>
      </c>
      <c r="K55" s="1106">
        <v>15</v>
      </c>
      <c r="L55" s="1106">
        <v>183</v>
      </c>
      <c r="M55" s="1106">
        <v>15</v>
      </c>
      <c r="N55" s="1106">
        <v>160</v>
      </c>
      <c r="O55" s="1106">
        <v>30</v>
      </c>
      <c r="P55" s="1106">
        <v>170</v>
      </c>
      <c r="Q55" s="1106">
        <f t="shared" si="47"/>
        <v>595</v>
      </c>
      <c r="R55" s="438">
        <f t="shared" si="48"/>
        <v>1190</v>
      </c>
      <c r="S55" s="746">
        <f t="shared" si="49"/>
        <v>1332</v>
      </c>
      <c r="T55" s="608">
        <v>3.45</v>
      </c>
      <c r="U55" s="608">
        <v>93</v>
      </c>
      <c r="V55" s="608">
        <v>13</v>
      </c>
      <c r="W55" s="608">
        <v>35.65</v>
      </c>
      <c r="X55" s="612">
        <f t="shared" si="50"/>
        <v>145.1</v>
      </c>
      <c r="Y55" s="620">
        <f t="shared" si="51"/>
        <v>290.2</v>
      </c>
      <c r="Z55" s="621">
        <f t="shared" si="52"/>
        <v>313.2</v>
      </c>
      <c r="AA55" s="625">
        <f t="shared" si="53"/>
        <v>87.799999999999983</v>
      </c>
      <c r="AB55" s="618">
        <f t="shared" si="54"/>
        <v>189.22999999999996</v>
      </c>
      <c r="AC55" s="629">
        <v>306</v>
      </c>
      <c r="AD55" s="612">
        <f t="shared" si="55"/>
        <v>97.997</v>
      </c>
      <c r="AE55" s="612">
        <f t="shared" si="56"/>
        <v>150.09699999999998</v>
      </c>
      <c r="AF55" s="623">
        <f t="shared" si="57"/>
        <v>300.19399999999996</v>
      </c>
      <c r="AG55" s="624">
        <f t="shared" si="58"/>
        <v>323.19399999999996</v>
      </c>
      <c r="AH55" s="612">
        <f t="shared" si="59"/>
        <v>199.22399999999993</v>
      </c>
      <c r="AI55" s="921" t="s">
        <v>1019</v>
      </c>
      <c r="AJ55" s="233">
        <v>190</v>
      </c>
      <c r="AK55" s="234">
        <f>2*AJ55+(2*71)+(2*45)</f>
        <v>612</v>
      </c>
      <c r="AL55" s="272">
        <f>S55-AK55</f>
        <v>720</v>
      </c>
      <c r="AM55" s="666" t="s">
        <v>113</v>
      </c>
      <c r="AN55" s="235">
        <f>176+23</f>
        <v>199</v>
      </c>
      <c r="AO55" s="236">
        <f>Z55-AN55</f>
        <v>114.19999999999999</v>
      </c>
      <c r="AP55" s="454"/>
      <c r="AQ55" s="271" t="s">
        <v>115</v>
      </c>
      <c r="AR55" s="632">
        <f>H55</f>
        <v>225.4</v>
      </c>
      <c r="AS55" s="632">
        <f>Z55</f>
        <v>313.2</v>
      </c>
      <c r="AT55" s="632">
        <f t="shared" si="61"/>
        <v>199</v>
      </c>
      <c r="AU55" s="292">
        <f>S55-G55</f>
        <v>292.40000000000009</v>
      </c>
      <c r="AV55" s="292">
        <f t="shared" si="62"/>
        <v>720</v>
      </c>
      <c r="BE55" s="979">
        <f t="shared" si="63"/>
        <v>18</v>
      </c>
    </row>
    <row r="56" spans="1:57" ht="15" customHeight="1">
      <c r="A56" s="801"/>
      <c r="C56" s="1556" t="s">
        <v>1005</v>
      </c>
      <c r="D56" s="1557" t="s">
        <v>1006</v>
      </c>
      <c r="E56" s="1445"/>
      <c r="F56" s="1619" t="s">
        <v>1007</v>
      </c>
      <c r="G56" s="1563" t="s">
        <v>1008</v>
      </c>
      <c r="H56" s="1637" t="s">
        <v>190</v>
      </c>
      <c r="I56" s="1564"/>
      <c r="J56" s="1566" t="s">
        <v>1010</v>
      </c>
      <c r="K56" s="1536" t="s">
        <v>164</v>
      </c>
      <c r="L56" s="1501" t="s">
        <v>153</v>
      </c>
      <c r="M56" s="1493" t="s">
        <v>1011</v>
      </c>
      <c r="N56" s="1493" t="s">
        <v>188</v>
      </c>
      <c r="O56" s="1493" t="s">
        <v>675</v>
      </c>
      <c r="P56" s="1493" t="s">
        <v>676</v>
      </c>
      <c r="Q56" s="1105"/>
      <c r="R56" s="91"/>
      <c r="S56" s="1634" t="s">
        <v>1167</v>
      </c>
      <c r="T56" s="1533" t="s">
        <v>1014</v>
      </c>
      <c r="U56" s="1540" t="s">
        <v>168</v>
      </c>
      <c r="V56" s="1559" t="s">
        <v>1015</v>
      </c>
      <c r="W56" s="1589" t="s">
        <v>1210</v>
      </c>
      <c r="X56" s="70"/>
      <c r="Y56" s="214"/>
      <c r="Z56" s="1531" t="s">
        <v>1175</v>
      </c>
      <c r="AA56" s="266"/>
      <c r="AB56" s="1534" t="s">
        <v>154</v>
      </c>
      <c r="AC56" s="1632" t="s">
        <v>1016</v>
      </c>
      <c r="AD56" s="1614" t="s">
        <v>666</v>
      </c>
      <c r="AE56" s="28"/>
      <c r="AF56" s="214"/>
      <c r="AG56" s="1531" t="s">
        <v>1175</v>
      </c>
      <c r="AH56" s="1593"/>
      <c r="AI56" s="831"/>
      <c r="AJ56" s="1581" t="s">
        <v>1155</v>
      </c>
      <c r="AK56" s="1604"/>
      <c r="AL56" s="1595" t="s">
        <v>1</v>
      </c>
      <c r="AM56" s="107"/>
      <c r="AN56" s="1611" t="s">
        <v>48</v>
      </c>
      <c r="AO56" s="56"/>
      <c r="AP56" s="446"/>
      <c r="AQ56" s="1602" t="s">
        <v>1156</v>
      </c>
    </row>
    <row r="57" spans="1:57" ht="15" customHeight="1">
      <c r="A57" s="801"/>
      <c r="C57" s="1556"/>
      <c r="D57" s="1558"/>
      <c r="E57" s="1445"/>
      <c r="F57" s="1620"/>
      <c r="G57" s="1365"/>
      <c r="H57" s="1347"/>
      <c r="I57" s="1565"/>
      <c r="J57" s="1567"/>
      <c r="K57" s="1537"/>
      <c r="L57" s="1501"/>
      <c r="M57" s="1532"/>
      <c r="N57" s="1501"/>
      <c r="O57" s="1532"/>
      <c r="P57" s="1501"/>
      <c r="Q57" s="1108"/>
      <c r="R57" s="217"/>
      <c r="S57" s="1635"/>
      <c r="T57" s="1431"/>
      <c r="U57" s="1541"/>
      <c r="V57" s="1560"/>
      <c r="W57" s="1590"/>
      <c r="X57" s="40"/>
      <c r="Y57" s="265"/>
      <c r="Z57" s="1479"/>
      <c r="AA57" s="1533"/>
      <c r="AB57" s="1535"/>
      <c r="AC57" s="1633"/>
      <c r="AD57" s="1501"/>
      <c r="AE57" s="120"/>
      <c r="AF57" s="207"/>
      <c r="AG57" s="1479"/>
      <c r="AH57" s="1594"/>
      <c r="AI57" s="348"/>
      <c r="AJ57" s="1582"/>
      <c r="AK57" s="1631"/>
      <c r="AL57" s="1399"/>
      <c r="AM57" s="104"/>
      <c r="AN57" s="1615"/>
      <c r="AO57" s="61"/>
      <c r="AP57" s="446"/>
      <c r="AQ57" s="1603"/>
    </row>
    <row r="58" spans="1:57">
      <c r="A58" s="801"/>
      <c r="C58" s="1556"/>
      <c r="D58" s="1558"/>
      <c r="E58" s="1445"/>
      <c r="F58" s="1620"/>
      <c r="G58" s="1365"/>
      <c r="H58" s="1347"/>
      <c r="I58" s="1565"/>
      <c r="J58" s="1567"/>
      <c r="K58" s="1537"/>
      <c r="L58" s="1501"/>
      <c r="M58" s="1532"/>
      <c r="N58" s="1501"/>
      <c r="O58" s="1532"/>
      <c r="P58" s="1501"/>
      <c r="Q58" s="1108"/>
      <c r="R58" s="217"/>
      <c r="S58" s="1635"/>
      <c r="T58" s="1431"/>
      <c r="U58" s="1541"/>
      <c r="V58" s="1560"/>
      <c r="W58" s="1590"/>
      <c r="X58" s="40"/>
      <c r="Y58" s="265"/>
      <c r="Z58" s="1479"/>
      <c r="AA58" s="1533"/>
      <c r="AB58" s="1535"/>
      <c r="AC58" s="1633"/>
      <c r="AD58" s="1501"/>
      <c r="AE58" s="120"/>
      <c r="AF58" s="207"/>
      <c r="AG58" s="1479"/>
      <c r="AH58" s="1594"/>
      <c r="AI58" s="348"/>
      <c r="AJ58" s="1582"/>
      <c r="AK58" s="1631"/>
      <c r="AL58" s="1399"/>
      <c r="AM58" s="104"/>
      <c r="AN58" s="1615"/>
      <c r="AO58" s="61"/>
      <c r="AP58" s="446"/>
      <c r="AQ58" s="1603"/>
    </row>
    <row r="59" spans="1:57">
      <c r="A59" s="801"/>
      <c r="C59" s="1556"/>
      <c r="D59" s="1558"/>
      <c r="E59" s="1445"/>
      <c r="F59" s="1620"/>
      <c r="G59" s="1365"/>
      <c r="H59" s="1347"/>
      <c r="I59" s="1565"/>
      <c r="J59" s="1567"/>
      <c r="K59" s="1537"/>
      <c r="L59" s="1501"/>
      <c r="M59" s="1532"/>
      <c r="N59" s="1501"/>
      <c r="O59" s="1532"/>
      <c r="P59" s="1501"/>
      <c r="Q59" s="1108"/>
      <c r="R59" s="217"/>
      <c r="S59" s="1635"/>
      <c r="T59" s="1431"/>
      <c r="U59" s="1541"/>
      <c r="V59" s="1560"/>
      <c r="W59" s="1590"/>
      <c r="X59" s="40"/>
      <c r="Y59" s="265"/>
      <c r="Z59" s="1479"/>
      <c r="AA59" s="1533"/>
      <c r="AB59" s="1535"/>
      <c r="AC59" s="1633"/>
      <c r="AD59" s="1501"/>
      <c r="AE59" s="120"/>
      <c r="AF59" s="207"/>
      <c r="AG59" s="1479"/>
      <c r="AH59" s="1594"/>
      <c r="AI59" s="348"/>
      <c r="AJ59" s="1582"/>
      <c r="AK59" s="1631"/>
      <c r="AL59" s="1399"/>
      <c r="AM59" s="104"/>
      <c r="AN59" s="1615"/>
      <c r="AO59" s="61"/>
      <c r="AP59" s="446"/>
      <c r="AQ59" s="1603"/>
    </row>
    <row r="60" spans="1:57">
      <c r="A60" s="801"/>
      <c r="C60" s="1556"/>
      <c r="D60" s="1558"/>
      <c r="E60" s="1445"/>
      <c r="F60" s="1620"/>
      <c r="G60" s="1365"/>
      <c r="H60" s="1347"/>
      <c r="I60" s="1565"/>
      <c r="J60" s="1567"/>
      <c r="K60" s="1537"/>
      <c r="L60" s="1501"/>
      <c r="M60" s="1532"/>
      <c r="N60" s="1501"/>
      <c r="O60" s="1532"/>
      <c r="P60" s="1501"/>
      <c r="Q60" s="1108"/>
      <c r="R60" s="217"/>
      <c r="S60" s="1635"/>
      <c r="T60" s="1431"/>
      <c r="U60" s="1541"/>
      <c r="V60" s="1560"/>
      <c r="W60" s="1590"/>
      <c r="X60" s="40"/>
      <c r="Y60" s="265"/>
      <c r="Z60" s="1479"/>
      <c r="AA60" s="1533"/>
      <c r="AB60" s="1535"/>
      <c r="AC60" s="1633"/>
      <c r="AD60" s="1501"/>
      <c r="AE60" s="120"/>
      <c r="AF60" s="207"/>
      <c r="AG60" s="1479"/>
      <c r="AH60" s="1594"/>
      <c r="AI60" s="348"/>
      <c r="AJ60" s="1582"/>
      <c r="AK60" s="1631"/>
      <c r="AL60" s="1399"/>
      <c r="AM60" s="104"/>
      <c r="AN60" s="1615"/>
      <c r="AO60" s="61"/>
      <c r="AP60" s="446"/>
      <c r="AQ60" s="1603"/>
    </row>
    <row r="61" spans="1:57">
      <c r="A61" s="801"/>
      <c r="C61" s="1556"/>
      <c r="D61" s="1558"/>
      <c r="E61" s="1445"/>
      <c r="F61" s="1620"/>
      <c r="G61" s="1365"/>
      <c r="H61" s="1347"/>
      <c r="I61" s="1565"/>
      <c r="J61" s="1567"/>
      <c r="K61" s="1537"/>
      <c r="L61" s="1501"/>
      <c r="M61" s="1532"/>
      <c r="N61" s="1501"/>
      <c r="O61" s="1532"/>
      <c r="P61" s="1501"/>
      <c r="Q61" s="1108"/>
      <c r="R61" s="217"/>
      <c r="S61" s="1635"/>
      <c r="T61" s="1431"/>
      <c r="U61" s="1541"/>
      <c r="V61" s="1560"/>
      <c r="W61" s="1590"/>
      <c r="X61" s="40"/>
      <c r="Y61" s="265"/>
      <c r="Z61" s="1479"/>
      <c r="AA61" s="1533"/>
      <c r="AB61" s="1535"/>
      <c r="AC61" s="1633"/>
      <c r="AD61" s="1501"/>
      <c r="AE61" s="120"/>
      <c r="AF61" s="207"/>
      <c r="AG61" s="1479"/>
      <c r="AH61" s="1594"/>
      <c r="AI61" s="348"/>
      <c r="AJ61" s="1582"/>
      <c r="AK61" s="1631"/>
      <c r="AL61" s="1399"/>
      <c r="AM61" s="104"/>
      <c r="AN61" s="1615"/>
      <c r="AO61" s="61"/>
      <c r="AP61" s="446"/>
      <c r="AQ61" s="1603"/>
    </row>
    <row r="62" spans="1:57">
      <c r="A62" s="801"/>
      <c r="C62" s="1556"/>
      <c r="D62" s="1558"/>
      <c r="E62" s="1445"/>
      <c r="F62" s="1620"/>
      <c r="G62" s="1365"/>
      <c r="H62" s="1347"/>
      <c r="I62" s="1565"/>
      <c r="J62" s="1567"/>
      <c r="K62" s="1537"/>
      <c r="L62" s="1501"/>
      <c r="M62" s="1532"/>
      <c r="N62" s="1501"/>
      <c r="O62" s="1532"/>
      <c r="P62" s="1501"/>
      <c r="Q62" s="1108"/>
      <c r="R62" s="217"/>
      <c r="S62" s="1635"/>
      <c r="T62" s="1431"/>
      <c r="U62" s="1541"/>
      <c r="V62" s="1560"/>
      <c r="W62" s="1590"/>
      <c r="X62" s="40"/>
      <c r="Y62" s="265"/>
      <c r="Z62" s="1479"/>
      <c r="AA62" s="1533"/>
      <c r="AB62" s="1535"/>
      <c r="AC62" s="1633"/>
      <c r="AD62" s="1501"/>
      <c r="AE62" s="120"/>
      <c r="AF62" s="207"/>
      <c r="AG62" s="1479"/>
      <c r="AH62" s="1594"/>
      <c r="AI62" s="219"/>
      <c r="AJ62" s="1582"/>
      <c r="AK62" s="1631"/>
      <c r="AL62" s="1399"/>
      <c r="AM62" s="104"/>
      <c r="AN62" s="1615"/>
      <c r="AO62" s="61"/>
      <c r="AP62" s="446"/>
      <c r="AQ62" s="1603"/>
    </row>
    <row r="63" spans="1:57">
      <c r="A63" s="801"/>
      <c r="C63" s="1556"/>
      <c r="D63" s="1558"/>
      <c r="E63" s="1445"/>
      <c r="F63" s="1620"/>
      <c r="G63" s="1365"/>
      <c r="H63" s="1347"/>
      <c r="I63" s="1565"/>
      <c r="J63" s="1567"/>
      <c r="K63" s="1537"/>
      <c r="L63" s="1501"/>
      <c r="M63" s="1532"/>
      <c r="N63" s="1501"/>
      <c r="O63" s="1532"/>
      <c r="P63" s="1501"/>
      <c r="Q63" s="1108"/>
      <c r="R63" s="217"/>
      <c r="S63" s="1635"/>
      <c r="T63" s="1431"/>
      <c r="U63" s="1541"/>
      <c r="V63" s="1560"/>
      <c r="W63" s="1590"/>
      <c r="X63" s="40"/>
      <c r="Y63" s="265"/>
      <c r="Z63" s="1479"/>
      <c r="AA63" s="1533"/>
      <c r="AB63" s="1535"/>
      <c r="AC63" s="1633"/>
      <c r="AD63" s="1501"/>
      <c r="AE63" s="120"/>
      <c r="AF63" s="207"/>
      <c r="AG63" s="1479"/>
      <c r="AH63" s="1594"/>
      <c r="AI63" s="219"/>
      <c r="AJ63" s="1582"/>
      <c r="AK63" s="1631"/>
      <c r="AL63" s="1399"/>
      <c r="AM63" s="104"/>
      <c r="AN63" s="1615"/>
      <c r="AO63" s="61"/>
      <c r="AP63" s="446"/>
      <c r="AQ63" s="1603"/>
    </row>
    <row r="64" spans="1:57">
      <c r="A64" s="801"/>
      <c r="C64" s="1556"/>
      <c r="D64" s="1558"/>
      <c r="E64" s="1445"/>
      <c r="F64" s="1620"/>
      <c r="G64" s="1365"/>
      <c r="H64" s="1347"/>
      <c r="I64" s="1565"/>
      <c r="J64" s="1567"/>
      <c r="K64" s="1537"/>
      <c r="L64" s="1501"/>
      <c r="M64" s="1532"/>
      <c r="N64" s="1501"/>
      <c r="O64" s="1532"/>
      <c r="P64" s="1501"/>
      <c r="Q64" s="1108"/>
      <c r="R64" s="217"/>
      <c r="S64" s="1635"/>
      <c r="T64" s="1431"/>
      <c r="U64" s="1541"/>
      <c r="V64" s="1560"/>
      <c r="W64" s="1590"/>
      <c r="X64" s="40"/>
      <c r="Y64" s="265"/>
      <c r="Z64" s="1479"/>
      <c r="AA64" s="1533"/>
      <c r="AB64" s="1535"/>
      <c r="AC64" s="1633"/>
      <c r="AD64" s="1501"/>
      <c r="AE64" s="120"/>
      <c r="AF64" s="207"/>
      <c r="AG64" s="1479"/>
      <c r="AH64" s="1594"/>
      <c r="AI64" s="219"/>
      <c r="AJ64" s="1582"/>
      <c r="AK64" s="1631"/>
      <c r="AL64" s="1399"/>
      <c r="AM64" s="104"/>
      <c r="AN64" s="1615"/>
      <c r="AO64" s="61"/>
      <c r="AP64" s="446"/>
      <c r="AQ64" s="1603"/>
    </row>
    <row r="65" spans="1:57" ht="15" customHeight="1">
      <c r="A65" s="801"/>
      <c r="C65" s="73"/>
      <c r="D65" s="1558"/>
      <c r="E65" s="1445"/>
      <c r="F65" s="1620"/>
      <c r="G65" s="1365"/>
      <c r="H65" s="1347"/>
      <c r="I65" s="1565"/>
      <c r="J65" s="1567"/>
      <c r="K65" s="1537"/>
      <c r="L65" s="1385"/>
      <c r="M65" s="1385"/>
      <c r="N65" s="1501"/>
      <c r="O65" s="1532"/>
      <c r="P65" s="1501"/>
      <c r="Q65" s="1108"/>
      <c r="R65" s="217"/>
      <c r="S65" s="1635"/>
      <c r="T65" s="1431"/>
      <c r="U65" s="1541"/>
      <c r="V65" s="1560"/>
      <c r="W65" s="1590"/>
      <c r="X65" s="40"/>
      <c r="Y65" s="265"/>
      <c r="Z65" s="1479"/>
      <c r="AA65" s="1533"/>
      <c r="AB65" s="1535"/>
      <c r="AC65" s="1633"/>
      <c r="AD65" s="1385"/>
      <c r="AE65" s="120"/>
      <c r="AF65" s="207"/>
      <c r="AG65" s="1479"/>
      <c r="AH65" s="1594"/>
      <c r="AI65" s="348"/>
      <c r="AJ65" s="1583"/>
      <c r="AK65" s="1631"/>
      <c r="AL65" s="1399"/>
      <c r="AM65" s="104"/>
      <c r="AN65" s="1615"/>
      <c r="AO65" s="61"/>
      <c r="AP65" s="446"/>
      <c r="AQ65" s="1603"/>
    </row>
    <row r="66" spans="1:57" ht="142" customHeight="1">
      <c r="A66" s="801"/>
      <c r="C66" s="73"/>
      <c r="D66" s="1558"/>
      <c r="E66" s="1445"/>
      <c r="F66" s="1620"/>
      <c r="G66" s="1365"/>
      <c r="H66" s="1347"/>
      <c r="I66" s="1565"/>
      <c r="J66" s="1567"/>
      <c r="K66" s="1537"/>
      <c r="L66" s="1385"/>
      <c r="M66" s="1385"/>
      <c r="N66" s="1501"/>
      <c r="O66" s="1532"/>
      <c r="P66" s="1501"/>
      <c r="Q66" s="1108"/>
      <c r="R66" s="217"/>
      <c r="S66" s="1635"/>
      <c r="T66" s="1431"/>
      <c r="U66" s="1541"/>
      <c r="V66" s="1560"/>
      <c r="W66" s="1590"/>
      <c r="X66" s="40"/>
      <c r="Y66" s="265"/>
      <c r="Z66" s="1479"/>
      <c r="AA66" s="1533"/>
      <c r="AB66" s="1535"/>
      <c r="AC66" s="1633"/>
      <c r="AD66" s="1385"/>
      <c r="AE66" s="120"/>
      <c r="AF66" s="207"/>
      <c r="AG66" s="1479"/>
      <c r="AH66" s="1594"/>
      <c r="AI66" s="348"/>
      <c r="AJ66" s="1583"/>
      <c r="AK66" s="1631"/>
      <c r="AL66" s="104"/>
      <c r="AM66" s="104"/>
      <c r="AN66" s="1615"/>
      <c r="AO66" s="61"/>
      <c r="AP66" s="446"/>
      <c r="AQ66" s="1603"/>
    </row>
    <row r="67" spans="1:57" s="12" customFormat="1">
      <c r="A67" s="801"/>
      <c r="B67" s="124"/>
      <c r="C67" s="68"/>
      <c r="D67" s="68"/>
      <c r="E67" s="189"/>
      <c r="F67" s="189"/>
      <c r="G67" s="189"/>
      <c r="H67" s="41"/>
      <c r="I67" s="409"/>
      <c r="J67" s="409"/>
      <c r="K67" s="409"/>
      <c r="L67" s="409"/>
      <c r="M67" s="409"/>
      <c r="N67" s="410"/>
      <c r="O67" s="409"/>
      <c r="P67" s="409"/>
      <c r="Q67" s="409"/>
      <c r="R67" s="136"/>
      <c r="S67" s="189"/>
      <c r="T67" s="189"/>
      <c r="U67" s="139"/>
      <c r="V67" s="410"/>
      <c r="W67" s="410"/>
      <c r="X67" s="189"/>
      <c r="Y67" s="40"/>
      <c r="Z67" s="411"/>
      <c r="AA67" s="411"/>
      <c r="AB67" s="84"/>
      <c r="AC67" s="412"/>
      <c r="AD67" s="412"/>
      <c r="AE67" s="412"/>
      <c r="AF67" s="189"/>
      <c r="AG67" s="411"/>
      <c r="AH67" s="411"/>
      <c r="AI67" s="411"/>
      <c r="AJ67" s="411"/>
      <c r="AK67" s="411"/>
      <c r="AL67" s="413"/>
      <c r="AM67" s="413"/>
      <c r="AN67" s="56"/>
      <c r="AO67" s="56"/>
      <c r="AP67" s="446"/>
      <c r="AQ67" s="183"/>
      <c r="AR67" s="183"/>
      <c r="AV67" s="508" t="s">
        <v>82</v>
      </c>
    </row>
    <row r="68" spans="1:57" s="12" customFormat="1">
      <c r="A68" s="801"/>
      <c r="B68" s="124"/>
      <c r="C68" s="68"/>
      <c r="D68" s="68"/>
      <c r="E68" s="189"/>
      <c r="F68" s="189"/>
      <c r="G68" s="189"/>
      <c r="H68" s="41"/>
      <c r="I68" s="409"/>
      <c r="J68" s="409"/>
      <c r="K68" s="409"/>
      <c r="L68" s="409"/>
      <c r="M68" s="409"/>
      <c r="N68" s="410"/>
      <c r="O68" s="409"/>
      <c r="P68" s="409"/>
      <c r="Q68" s="409"/>
      <c r="R68" s="136"/>
      <c r="S68" s="189"/>
      <c r="T68" s="189"/>
      <c r="U68" s="139"/>
      <c r="V68" s="410"/>
      <c r="W68" s="410"/>
      <c r="X68" s="189"/>
      <c r="Y68" s="40"/>
      <c r="Z68" s="411"/>
      <c r="AA68" s="411"/>
      <c r="AB68" s="84"/>
      <c r="AC68" s="412"/>
      <c r="AD68" s="412"/>
      <c r="AE68" s="412"/>
      <c r="AF68" s="189"/>
      <c r="AG68" s="411"/>
      <c r="AH68" s="411"/>
      <c r="AI68" s="411"/>
      <c r="AJ68" s="411"/>
      <c r="AK68" s="411"/>
      <c r="AL68" s="413"/>
      <c r="AM68" s="413"/>
      <c r="AN68" s="56"/>
      <c r="AO68" s="56"/>
      <c r="AP68" s="446"/>
      <c r="AQ68" s="183"/>
      <c r="AR68" s="183"/>
    </row>
    <row r="69" spans="1:57" ht="16" customHeight="1">
      <c r="A69" s="801"/>
      <c r="B69" s="337" t="s">
        <v>33</v>
      </c>
      <c r="C69" s="1568" t="s">
        <v>641</v>
      </c>
      <c r="D69" s="1568"/>
      <c r="E69" s="1568"/>
      <c r="F69" s="1568"/>
      <c r="G69" s="1568"/>
      <c r="H69" s="1568"/>
      <c r="I69" s="1568"/>
      <c r="J69" s="1568"/>
      <c r="K69" s="1568"/>
      <c r="L69" s="1568"/>
      <c r="M69" s="1568"/>
      <c r="N69" s="1568"/>
      <c r="O69" s="1568"/>
      <c r="P69" s="1568"/>
      <c r="Q69" s="1568"/>
      <c r="R69" s="1568"/>
      <c r="S69" s="1568"/>
      <c r="T69" s="1407"/>
      <c r="U69" s="1407"/>
      <c r="V69" s="1407"/>
      <c r="W69" s="1407"/>
      <c r="X69" s="1407"/>
      <c r="Y69" s="1407"/>
      <c r="Z69" s="1407"/>
      <c r="AA69" s="1407"/>
      <c r="AB69" s="1407"/>
      <c r="AC69" s="1407"/>
      <c r="AD69" s="1407"/>
      <c r="AE69" s="1407"/>
      <c r="AF69" s="1407"/>
      <c r="AG69" s="1407"/>
      <c r="AH69" s="1407"/>
      <c r="AI69" s="924"/>
      <c r="AJ69" s="75"/>
      <c r="AK69" s="75"/>
      <c r="AL69" s="106"/>
      <c r="AM69" s="106"/>
      <c r="AN69" s="189"/>
      <c r="AO69" s="189"/>
      <c r="AP69" s="446"/>
    </row>
    <row r="70" spans="1:57" s="1184" customFormat="1" ht="30" customHeight="1">
      <c r="A70" s="1134"/>
      <c r="B70" s="1176"/>
      <c r="C70" s="503" t="s">
        <v>116</v>
      </c>
      <c r="D70" s="1587" t="s">
        <v>28</v>
      </c>
      <c r="E70" s="1588"/>
      <c r="F70" s="1588"/>
      <c r="G70" s="1588"/>
      <c r="H70" s="1588"/>
      <c r="I70" s="1579"/>
      <c r="J70" s="1571" t="s">
        <v>104</v>
      </c>
      <c r="K70" s="1601"/>
      <c r="L70" s="1601"/>
      <c r="M70" s="1601"/>
      <c r="N70" s="1601"/>
      <c r="O70" s="1601"/>
      <c r="P70" s="1601"/>
      <c r="Q70" s="1601"/>
      <c r="R70" s="1561" t="s">
        <v>22</v>
      </c>
      <c r="S70" s="1562"/>
      <c r="T70" s="1516" t="s">
        <v>136</v>
      </c>
      <c r="U70" s="1517"/>
      <c r="V70" s="1517"/>
      <c r="W70" s="1517"/>
      <c r="X70" s="1517"/>
      <c r="Y70" s="1514" t="s">
        <v>126</v>
      </c>
      <c r="Z70" s="1515"/>
      <c r="AA70" s="1197"/>
      <c r="AB70" s="1198"/>
      <c r="AC70" s="1538" t="s">
        <v>101</v>
      </c>
      <c r="AD70" s="1539"/>
      <c r="AE70" s="1539"/>
      <c r="AF70" s="1518" t="s">
        <v>23</v>
      </c>
      <c r="AG70" s="1519"/>
      <c r="AH70" s="1199"/>
      <c r="AI70" s="1191"/>
      <c r="AJ70" s="1510" t="s">
        <v>25</v>
      </c>
      <c r="AK70" s="1512"/>
      <c r="AL70" s="1512"/>
      <c r="AM70" s="1512"/>
      <c r="AN70" s="1513"/>
      <c r="AO70" s="1180"/>
      <c r="AP70" s="1203"/>
      <c r="AQ70" s="1183"/>
      <c r="AR70" s="1183"/>
      <c r="AV70" s="1319" t="s">
        <v>82</v>
      </c>
    </row>
    <row r="71" spans="1:57">
      <c r="A71" s="801"/>
      <c r="C71" s="507"/>
      <c r="D71" s="197">
        <v>1</v>
      </c>
      <c r="E71" s="198">
        <v>2</v>
      </c>
      <c r="F71" s="198">
        <v>3</v>
      </c>
      <c r="G71" s="198">
        <f>F71+1</f>
        <v>4</v>
      </c>
      <c r="H71" s="198">
        <f>G71+1</f>
        <v>5</v>
      </c>
      <c r="I71" s="198">
        <f>H71+1</f>
        <v>6</v>
      </c>
      <c r="J71" s="197">
        <f>I71+1</f>
        <v>7</v>
      </c>
      <c r="K71" s="198">
        <f t="shared" ref="K71:Q71" si="64">J71+1</f>
        <v>8</v>
      </c>
      <c r="L71" s="198">
        <f t="shared" si="64"/>
        <v>9</v>
      </c>
      <c r="M71" s="198">
        <f t="shared" si="64"/>
        <v>10</v>
      </c>
      <c r="N71" s="198">
        <f t="shared" si="64"/>
        <v>11</v>
      </c>
      <c r="O71" s="198">
        <f t="shared" si="64"/>
        <v>12</v>
      </c>
      <c r="P71" s="198">
        <f t="shared" si="64"/>
        <v>13</v>
      </c>
      <c r="Q71" s="198">
        <f t="shared" si="64"/>
        <v>14</v>
      </c>
      <c r="R71" s="197">
        <v>15</v>
      </c>
      <c r="S71" s="199">
        <v>16</v>
      </c>
      <c r="T71" s="198">
        <v>17</v>
      </c>
      <c r="U71" s="198">
        <f t="shared" ref="U71:Z71" si="65">T71+1</f>
        <v>18</v>
      </c>
      <c r="V71" s="198">
        <f t="shared" si="65"/>
        <v>19</v>
      </c>
      <c r="W71" s="198">
        <f t="shared" si="65"/>
        <v>20</v>
      </c>
      <c r="X71" s="198">
        <f t="shared" si="65"/>
        <v>21</v>
      </c>
      <c r="Y71" s="933">
        <f t="shared" si="65"/>
        <v>22</v>
      </c>
      <c r="Z71" s="934">
        <f t="shared" si="65"/>
        <v>23</v>
      </c>
      <c r="AA71" s="197">
        <f t="shared" ref="AA71:AL71" si="66">Z71+1</f>
        <v>24</v>
      </c>
      <c r="AB71" s="197">
        <f t="shared" si="66"/>
        <v>25</v>
      </c>
      <c r="AC71" s="197">
        <f t="shared" si="66"/>
        <v>26</v>
      </c>
      <c r="AD71" s="200">
        <f t="shared" si="66"/>
        <v>27</v>
      </c>
      <c r="AE71" s="205">
        <f t="shared" si="66"/>
        <v>28</v>
      </c>
      <c r="AF71" s="933">
        <f t="shared" si="66"/>
        <v>29</v>
      </c>
      <c r="AG71" s="934">
        <f t="shared" si="66"/>
        <v>30</v>
      </c>
      <c r="AH71" s="197">
        <f t="shared" si="66"/>
        <v>31</v>
      </c>
      <c r="AI71" s="86">
        <f>AH71+1</f>
        <v>32</v>
      </c>
      <c r="AJ71" s="38">
        <f>AI71+1</f>
        <v>33</v>
      </c>
      <c r="AK71" s="200">
        <f t="shared" si="66"/>
        <v>34</v>
      </c>
      <c r="AL71" s="200">
        <f t="shared" si="66"/>
        <v>35</v>
      </c>
      <c r="AM71" s="38">
        <f>AL71+1</f>
        <v>36</v>
      </c>
      <c r="AN71" s="359">
        <f>AM71+1</f>
        <v>37</v>
      </c>
      <c r="AO71" s="205">
        <f>AN71+1</f>
        <v>38</v>
      </c>
      <c r="AP71" s="446"/>
    </row>
    <row r="72" spans="1:57" ht="123" customHeight="1">
      <c r="A72" s="801"/>
      <c r="B72" s="463"/>
      <c r="C72" s="1068" t="s">
        <v>1020</v>
      </c>
      <c r="D72" s="1026" t="s">
        <v>107</v>
      </c>
      <c r="E72" s="1025" t="s">
        <v>677</v>
      </c>
      <c r="F72" s="1025" t="s">
        <v>407</v>
      </c>
      <c r="G72" s="1027" t="s">
        <v>667</v>
      </c>
      <c r="H72" s="418" t="s">
        <v>409</v>
      </c>
      <c r="I72" s="820" t="s">
        <v>643</v>
      </c>
      <c r="J72" s="1025" t="s">
        <v>1025</v>
      </c>
      <c r="K72" s="1025" t="s">
        <v>678</v>
      </c>
      <c r="L72" s="1025" t="s">
        <v>1026</v>
      </c>
      <c r="M72" s="1025" t="s">
        <v>679</v>
      </c>
      <c r="N72" s="1027" t="s">
        <v>680</v>
      </c>
      <c r="O72" s="1025" t="s">
        <v>681</v>
      </c>
      <c r="P72" s="164" t="s">
        <v>682</v>
      </c>
      <c r="Q72" s="840" t="s">
        <v>418</v>
      </c>
      <c r="R72" s="179" t="s">
        <v>447</v>
      </c>
      <c r="S72" s="322" t="s">
        <v>448</v>
      </c>
      <c r="T72" s="819" t="s">
        <v>683</v>
      </c>
      <c r="U72" s="819" t="s">
        <v>684</v>
      </c>
      <c r="V72" s="1101" t="s">
        <v>671</v>
      </c>
      <c r="W72" s="1101" t="s">
        <v>484</v>
      </c>
      <c r="X72" s="819" t="s">
        <v>685</v>
      </c>
      <c r="Y72" s="175" t="s">
        <v>425</v>
      </c>
      <c r="Z72" s="545" t="s">
        <v>520</v>
      </c>
      <c r="AA72" s="819" t="s">
        <v>650</v>
      </c>
      <c r="AB72" s="819" t="s">
        <v>428</v>
      </c>
      <c r="AC72" s="1026" t="s">
        <v>429</v>
      </c>
      <c r="AD72" s="819" t="s">
        <v>686</v>
      </c>
      <c r="AE72" s="819" t="s">
        <v>431</v>
      </c>
      <c r="AF72" s="154" t="s">
        <v>432</v>
      </c>
      <c r="AG72" s="568" t="s">
        <v>639</v>
      </c>
      <c r="AH72" s="819" t="s">
        <v>434</v>
      </c>
      <c r="AI72" s="1087" t="s">
        <v>346</v>
      </c>
      <c r="AJ72" s="1055" t="s">
        <v>435</v>
      </c>
      <c r="AK72" s="1074" t="s">
        <v>0</v>
      </c>
      <c r="AL72" s="1204" t="s">
        <v>27</v>
      </c>
      <c r="AM72" s="819" t="s">
        <v>402</v>
      </c>
      <c r="AN72" s="820" t="s">
        <v>343</v>
      </c>
      <c r="AO72" s="570" t="s">
        <v>436</v>
      </c>
      <c r="AP72" s="446"/>
      <c r="AQ72" s="1068" t="s">
        <v>1020</v>
      </c>
      <c r="AR72" s="418" t="s">
        <v>438</v>
      </c>
      <c r="AS72" s="418" t="s">
        <v>531</v>
      </c>
      <c r="AT72" s="361" t="s">
        <v>440</v>
      </c>
      <c r="AU72" s="861" t="s">
        <v>403</v>
      </c>
      <c r="AV72" s="861" t="s">
        <v>746</v>
      </c>
      <c r="BE72" s="978" t="s">
        <v>779</v>
      </c>
    </row>
    <row r="73" spans="1:57">
      <c r="A73" s="814">
        <f>A55+1</f>
        <v>19</v>
      </c>
      <c r="B73" s="771">
        <v>1</v>
      </c>
      <c r="C73" s="271" t="s">
        <v>172</v>
      </c>
      <c r="D73" s="630">
        <v>357</v>
      </c>
      <c r="E73" s="877">
        <f>2*D73</f>
        <v>714</v>
      </c>
      <c r="F73" s="877">
        <f>2*320</f>
        <v>640</v>
      </c>
      <c r="G73" s="629">
        <f>F73*1.15</f>
        <v>736</v>
      </c>
      <c r="H73" s="236">
        <f>E73*0.23</f>
        <v>164.22</v>
      </c>
      <c r="I73" s="235">
        <f>0.5*(H73*1.1)</f>
        <v>90.321000000000012</v>
      </c>
      <c r="J73" s="629" t="s">
        <v>50</v>
      </c>
      <c r="K73" s="629">
        <v>12</v>
      </c>
      <c r="L73" s="877">
        <f>15+10</f>
        <v>25</v>
      </c>
      <c r="M73" s="877">
        <v>183</v>
      </c>
      <c r="N73" s="629">
        <v>15</v>
      </c>
      <c r="O73" s="629">
        <v>132</v>
      </c>
      <c r="P73" s="629" t="s">
        <v>50</v>
      </c>
      <c r="Q73" s="629">
        <f>SUM(J73:P73)</f>
        <v>367</v>
      </c>
      <c r="R73" s="355">
        <f>2*Q73</f>
        <v>734</v>
      </c>
      <c r="S73" s="643">
        <f>R73+(2*71)</f>
        <v>876</v>
      </c>
      <c r="T73" s="608">
        <v>3.45</v>
      </c>
      <c r="U73" s="608">
        <v>93</v>
      </c>
      <c r="V73" s="608">
        <v>13</v>
      </c>
      <c r="W73" s="773" t="s">
        <v>50</v>
      </c>
      <c r="X73" s="612">
        <f>SUM(T73:W73)</f>
        <v>109.45</v>
      </c>
      <c r="Y73" s="620">
        <f>2*X73</f>
        <v>218.9</v>
      </c>
      <c r="Z73" s="622">
        <f>Y73+(23)</f>
        <v>241.9</v>
      </c>
      <c r="AA73" s="625">
        <f>Z73-H73</f>
        <v>77.680000000000007</v>
      </c>
      <c r="AB73" s="618">
        <f>Z73-I73</f>
        <v>151.57900000000001</v>
      </c>
      <c r="AC73" s="230">
        <v>306</v>
      </c>
      <c r="AD73" s="612">
        <f>(33.89)+(AC73*0.2095)</f>
        <v>97.997</v>
      </c>
      <c r="AE73" s="626">
        <f>X73-U73+AD73</f>
        <v>114.447</v>
      </c>
      <c r="AF73" s="627">
        <f>2*AE73</f>
        <v>228.89400000000001</v>
      </c>
      <c r="AG73" s="628">
        <f>AF73+(223)</f>
        <v>451.89400000000001</v>
      </c>
      <c r="AH73" s="625">
        <f>AG73-I73</f>
        <v>361.57299999999998</v>
      </c>
      <c r="AI73" s="1076" t="s">
        <v>372</v>
      </c>
      <c r="AJ73" s="1071">
        <v>80</v>
      </c>
      <c r="AK73" s="1088">
        <f>2*AJ73+(2*71)+(2*45)</f>
        <v>392</v>
      </c>
      <c r="AL73" s="1088">
        <f>S73-AK73</f>
        <v>484</v>
      </c>
      <c r="AM73" s="666" t="s">
        <v>113</v>
      </c>
      <c r="AN73" s="235">
        <f>298+(1*23)</f>
        <v>321</v>
      </c>
      <c r="AO73" s="236">
        <f>Z73-AN73</f>
        <v>-79.099999999999994</v>
      </c>
      <c r="AP73" s="453"/>
      <c r="AQ73" s="271" t="s">
        <v>771</v>
      </c>
      <c r="AR73" s="632">
        <f>H73</f>
        <v>164.22</v>
      </c>
      <c r="AS73" s="632">
        <f>Z73</f>
        <v>241.9</v>
      </c>
      <c r="AT73" s="632">
        <f>AN73</f>
        <v>321</v>
      </c>
      <c r="AU73" s="292">
        <f>S73-G73</f>
        <v>140</v>
      </c>
      <c r="AV73" s="292">
        <f>AL73</f>
        <v>484</v>
      </c>
      <c r="BE73" s="957">
        <f>B73</f>
        <v>1</v>
      </c>
    </row>
    <row r="74" spans="1:57" s="147" customFormat="1">
      <c r="A74" s="814">
        <f t="shared" ref="A74:B76" si="67">A73+1</f>
        <v>20</v>
      </c>
      <c r="B74" s="780">
        <f>B55+1</f>
        <v>19</v>
      </c>
      <c r="C74" s="271" t="s">
        <v>173</v>
      </c>
      <c r="D74" s="630">
        <v>372</v>
      </c>
      <c r="E74" s="877">
        <f>2*D74</f>
        <v>744</v>
      </c>
      <c r="F74" s="877">
        <f>2*337</f>
        <v>674</v>
      </c>
      <c r="G74" s="629">
        <f>F74*1.15</f>
        <v>775.09999999999991</v>
      </c>
      <c r="H74" s="236">
        <f t="shared" ref="H74:H76" si="68">E74*0.23</f>
        <v>171.12</v>
      </c>
      <c r="I74" s="235">
        <f>0.5*(H74*1.1)</f>
        <v>94.116000000000014</v>
      </c>
      <c r="J74" s="629" t="s">
        <v>50</v>
      </c>
      <c r="K74" s="629">
        <v>12</v>
      </c>
      <c r="L74" s="877">
        <f>15+10</f>
        <v>25</v>
      </c>
      <c r="M74" s="877">
        <v>183</v>
      </c>
      <c r="N74" s="629">
        <v>15</v>
      </c>
      <c r="O74" s="629">
        <v>160</v>
      </c>
      <c r="P74" s="629" t="s">
        <v>50</v>
      </c>
      <c r="Q74" s="629">
        <f>SUM(J74:P74)</f>
        <v>395</v>
      </c>
      <c r="R74" s="355">
        <f>2*Q74</f>
        <v>790</v>
      </c>
      <c r="S74" s="643">
        <f>R74+(2*71)</f>
        <v>932</v>
      </c>
      <c r="T74" s="608">
        <v>3.45</v>
      </c>
      <c r="U74" s="608">
        <v>93</v>
      </c>
      <c r="V74" s="608">
        <v>13</v>
      </c>
      <c r="W74" s="773" t="s">
        <v>50</v>
      </c>
      <c r="X74" s="612">
        <f>SUM(T74:W74)</f>
        <v>109.45</v>
      </c>
      <c r="Y74" s="620">
        <f>2*X74</f>
        <v>218.9</v>
      </c>
      <c r="Z74" s="622">
        <f>Y74+(23)</f>
        <v>241.9</v>
      </c>
      <c r="AA74" s="625">
        <f>Z74-H74</f>
        <v>70.78</v>
      </c>
      <c r="AB74" s="618">
        <f>Z74-I74</f>
        <v>147.78399999999999</v>
      </c>
      <c r="AC74" s="230">
        <v>306</v>
      </c>
      <c r="AD74" s="612">
        <f t="shared" ref="AD74:AD76" si="69">(33.89)+(AC74*0.2095)</f>
        <v>97.997</v>
      </c>
      <c r="AE74" s="626">
        <f>X74-U74+AD74</f>
        <v>114.447</v>
      </c>
      <c r="AF74" s="627">
        <f>2*AE74</f>
        <v>228.89400000000001</v>
      </c>
      <c r="AG74" s="628">
        <f>AF74+(223)</f>
        <v>451.89400000000001</v>
      </c>
      <c r="AH74" s="625">
        <f>AG74-I74</f>
        <v>357.77800000000002</v>
      </c>
      <c r="AI74" s="1076" t="s">
        <v>373</v>
      </c>
      <c r="AJ74" s="1071">
        <v>90</v>
      </c>
      <c r="AK74" s="1088">
        <f>2*AJ74+(2*71)+(2*45)</f>
        <v>412</v>
      </c>
      <c r="AL74" s="1088">
        <f>S74-AK74</f>
        <v>520</v>
      </c>
      <c r="AM74" s="666" t="s">
        <v>113</v>
      </c>
      <c r="AN74" s="235">
        <f>83+(1*23)</f>
        <v>106</v>
      </c>
      <c r="AO74" s="236">
        <f>Z74-AN74</f>
        <v>135.9</v>
      </c>
      <c r="AP74" s="453"/>
      <c r="AQ74" s="271" t="s">
        <v>770</v>
      </c>
      <c r="AR74" s="632">
        <f>H74</f>
        <v>171.12</v>
      </c>
      <c r="AS74" s="632">
        <f>Z74</f>
        <v>241.9</v>
      </c>
      <c r="AT74" s="632">
        <f t="shared" ref="AT74:AT76" si="70">AN74</f>
        <v>106</v>
      </c>
      <c r="AU74" s="292">
        <f>S74-G74</f>
        <v>156.90000000000009</v>
      </c>
      <c r="AV74" s="292">
        <f t="shared" ref="AV74:AV76" si="71">AL74</f>
        <v>520</v>
      </c>
      <c r="BE74" s="979">
        <f>B74</f>
        <v>19</v>
      </c>
    </row>
    <row r="75" spans="1:57" s="147" customFormat="1">
      <c r="A75" s="814">
        <f t="shared" si="67"/>
        <v>21</v>
      </c>
      <c r="B75" s="780">
        <f t="shared" si="67"/>
        <v>20</v>
      </c>
      <c r="C75" s="271" t="s">
        <v>174</v>
      </c>
      <c r="D75" s="630">
        <v>385</v>
      </c>
      <c r="E75" s="877">
        <f>2*D75</f>
        <v>770</v>
      </c>
      <c r="F75" s="877">
        <f>2*377</f>
        <v>754</v>
      </c>
      <c r="G75" s="629">
        <f>F75*1.15</f>
        <v>867.09999999999991</v>
      </c>
      <c r="H75" s="236">
        <f t="shared" si="68"/>
        <v>177.1</v>
      </c>
      <c r="I75" s="235">
        <f>0.5*(H75*1.1)</f>
        <v>97.405000000000001</v>
      </c>
      <c r="J75" s="629" t="s">
        <v>50</v>
      </c>
      <c r="K75" s="629">
        <v>12</v>
      </c>
      <c r="L75" s="877">
        <f>15+10</f>
        <v>25</v>
      </c>
      <c r="M75" s="877">
        <v>183</v>
      </c>
      <c r="N75" s="629">
        <v>15</v>
      </c>
      <c r="O75" s="629">
        <v>160</v>
      </c>
      <c r="P75" s="629">
        <f>15+39</f>
        <v>54</v>
      </c>
      <c r="Q75" s="629">
        <f>SUM(J75:P75)</f>
        <v>449</v>
      </c>
      <c r="R75" s="355">
        <f>2*Q75</f>
        <v>898</v>
      </c>
      <c r="S75" s="643">
        <f>R75+(2*71)</f>
        <v>1040</v>
      </c>
      <c r="T75" s="608">
        <v>3.45</v>
      </c>
      <c r="U75" s="608">
        <v>93</v>
      </c>
      <c r="V75" s="608">
        <v>13</v>
      </c>
      <c r="W75" s="608">
        <v>6.5</v>
      </c>
      <c r="X75" s="612">
        <f>SUM(T75:W75)</f>
        <v>115.95</v>
      </c>
      <c r="Y75" s="620">
        <f>2*X75</f>
        <v>231.9</v>
      </c>
      <c r="Z75" s="622">
        <f>Y75+(23)</f>
        <v>254.9</v>
      </c>
      <c r="AA75" s="625">
        <f>Z75-H75</f>
        <v>77.800000000000011</v>
      </c>
      <c r="AB75" s="618">
        <f>Z75-I75</f>
        <v>157.495</v>
      </c>
      <c r="AC75" s="230">
        <v>306</v>
      </c>
      <c r="AD75" s="612">
        <f t="shared" si="69"/>
        <v>97.997</v>
      </c>
      <c r="AE75" s="626">
        <f>X75-U75+AD75</f>
        <v>120.947</v>
      </c>
      <c r="AF75" s="627">
        <f>2*AE75</f>
        <v>241.89400000000001</v>
      </c>
      <c r="AG75" s="628">
        <f>AF75+(223)</f>
        <v>464.89400000000001</v>
      </c>
      <c r="AH75" s="625">
        <f>AG75-I75</f>
        <v>367.48900000000003</v>
      </c>
      <c r="AI75" s="1076" t="s">
        <v>373</v>
      </c>
      <c r="AJ75" s="1071">
        <v>90</v>
      </c>
      <c r="AK75" s="1088">
        <f>2*AJ75+(2*71)+(2*45)</f>
        <v>412</v>
      </c>
      <c r="AL75" s="1088">
        <f>S75-AK75</f>
        <v>628</v>
      </c>
      <c r="AM75" s="612">
        <v>15</v>
      </c>
      <c r="AN75" s="235">
        <f>83+(1*23)+AM75</f>
        <v>121</v>
      </c>
      <c r="AO75" s="236">
        <f>Z75-AN75</f>
        <v>133.9</v>
      </c>
      <c r="AP75" s="453"/>
      <c r="AQ75" s="271" t="s">
        <v>176</v>
      </c>
      <c r="AR75" s="632">
        <f>H75</f>
        <v>177.1</v>
      </c>
      <c r="AS75" s="632">
        <f>Z75</f>
        <v>254.9</v>
      </c>
      <c r="AT75" s="632">
        <f t="shared" si="70"/>
        <v>121</v>
      </c>
      <c r="AU75" s="292">
        <f>S75-G75</f>
        <v>172.90000000000009</v>
      </c>
      <c r="AV75" s="292">
        <f t="shared" si="71"/>
        <v>628</v>
      </c>
      <c r="BE75" s="979">
        <f t="shared" ref="BE75:BE76" si="72">B75</f>
        <v>20</v>
      </c>
    </row>
    <row r="76" spans="1:57" s="147" customFormat="1">
      <c r="A76" s="814">
        <f t="shared" si="67"/>
        <v>22</v>
      </c>
      <c r="B76" s="780">
        <f t="shared" si="67"/>
        <v>21</v>
      </c>
      <c r="C76" s="271" t="s">
        <v>175</v>
      </c>
      <c r="D76" s="630">
        <v>401</v>
      </c>
      <c r="E76" s="877">
        <f>2*D76</f>
        <v>802</v>
      </c>
      <c r="F76" s="877">
        <f>2*377</f>
        <v>754</v>
      </c>
      <c r="G76" s="629">
        <f>F76*1.15</f>
        <v>867.09999999999991</v>
      </c>
      <c r="H76" s="236">
        <f t="shared" si="68"/>
        <v>184.46</v>
      </c>
      <c r="I76" s="235">
        <f>0.5*(H76*1.1)</f>
        <v>101.45300000000002</v>
      </c>
      <c r="J76" s="629" t="s">
        <v>50</v>
      </c>
      <c r="K76" s="629">
        <v>12</v>
      </c>
      <c r="L76" s="877">
        <f>15+10</f>
        <v>25</v>
      </c>
      <c r="M76" s="877">
        <v>183</v>
      </c>
      <c r="N76" s="629">
        <v>15</v>
      </c>
      <c r="O76" s="629">
        <v>160</v>
      </c>
      <c r="P76" s="629">
        <f>15+39</f>
        <v>54</v>
      </c>
      <c r="Q76" s="629">
        <f>SUM(J76:P76)</f>
        <v>449</v>
      </c>
      <c r="R76" s="355">
        <f>2*Q76</f>
        <v>898</v>
      </c>
      <c r="S76" s="643">
        <f>R76+(2*71)</f>
        <v>1040</v>
      </c>
      <c r="T76" s="608">
        <v>3.45</v>
      </c>
      <c r="U76" s="608">
        <v>93</v>
      </c>
      <c r="V76" s="608">
        <v>13</v>
      </c>
      <c r="W76" s="608">
        <v>8.75</v>
      </c>
      <c r="X76" s="612">
        <f>SUM(T76:W76)</f>
        <v>118.2</v>
      </c>
      <c r="Y76" s="620">
        <f>2*X76</f>
        <v>236.4</v>
      </c>
      <c r="Z76" s="622">
        <f>Y76+(23)</f>
        <v>259.39999999999998</v>
      </c>
      <c r="AA76" s="625">
        <f>Z76-H76</f>
        <v>74.939999999999969</v>
      </c>
      <c r="AB76" s="618">
        <f>Z76-I76</f>
        <v>157.94699999999995</v>
      </c>
      <c r="AC76" s="230">
        <v>306</v>
      </c>
      <c r="AD76" s="612">
        <f t="shared" si="69"/>
        <v>97.997</v>
      </c>
      <c r="AE76" s="626">
        <f>X76-U76+AD76</f>
        <v>123.197</v>
      </c>
      <c r="AF76" s="627">
        <f>2*AE76</f>
        <v>246.39400000000001</v>
      </c>
      <c r="AG76" s="628">
        <f>AF76+(223)</f>
        <v>469.39400000000001</v>
      </c>
      <c r="AH76" s="625">
        <f>AG76-I76</f>
        <v>367.94099999999997</v>
      </c>
      <c r="AI76" s="1076" t="s">
        <v>373</v>
      </c>
      <c r="AJ76" s="1071">
        <v>90</v>
      </c>
      <c r="AK76" s="1088">
        <f>2*AJ76+(2*71)+(2*45)</f>
        <v>412</v>
      </c>
      <c r="AL76" s="1088">
        <f>S76-AK76</f>
        <v>628</v>
      </c>
      <c r="AM76" s="612">
        <v>15</v>
      </c>
      <c r="AN76" s="235">
        <f>83+(1*23)+AM76</f>
        <v>121</v>
      </c>
      <c r="AO76" s="236">
        <f>Z76-AN76</f>
        <v>138.39999999999998</v>
      </c>
      <c r="AP76" s="453"/>
      <c r="AQ76" s="271" t="s">
        <v>769</v>
      </c>
      <c r="AR76" s="632">
        <f>H76</f>
        <v>184.46</v>
      </c>
      <c r="AS76" s="632">
        <f>Z76</f>
        <v>259.39999999999998</v>
      </c>
      <c r="AT76" s="632">
        <f t="shared" si="70"/>
        <v>121</v>
      </c>
      <c r="AU76" s="292">
        <f>S76-G76</f>
        <v>172.90000000000009</v>
      </c>
      <c r="AV76" s="292">
        <f t="shared" si="71"/>
        <v>628</v>
      </c>
      <c r="BE76" s="979">
        <f t="shared" si="72"/>
        <v>21</v>
      </c>
    </row>
    <row r="77" spans="1:57" s="147" customFormat="1" ht="303" customHeight="1">
      <c r="A77" s="805"/>
      <c r="B77" s="124"/>
      <c r="C77" s="1044" t="s">
        <v>687</v>
      </c>
      <c r="D77" s="1427" t="s">
        <v>1021</v>
      </c>
      <c r="E77" s="1445"/>
      <c r="F77" s="894" t="s">
        <v>1022</v>
      </c>
      <c r="G77" s="870" t="s">
        <v>1023</v>
      </c>
      <c r="H77" s="1046" t="s">
        <v>1024</v>
      </c>
      <c r="I77" s="844"/>
      <c r="J77" s="1063"/>
      <c r="K77" s="1063" t="s">
        <v>169</v>
      </c>
      <c r="L77" s="866" t="s">
        <v>1027</v>
      </c>
      <c r="M77" s="866" t="s">
        <v>170</v>
      </c>
      <c r="N77" s="866" t="s">
        <v>1028</v>
      </c>
      <c r="O77" s="866" t="s">
        <v>188</v>
      </c>
      <c r="P77" s="843" t="s">
        <v>1029</v>
      </c>
      <c r="Q77" s="849"/>
      <c r="R77" s="351"/>
      <c r="S77" s="1007" t="s">
        <v>1168</v>
      </c>
      <c r="T77" s="1063" t="s">
        <v>572</v>
      </c>
      <c r="U77" s="174" t="s">
        <v>130</v>
      </c>
      <c r="V77" s="842" t="s">
        <v>147</v>
      </c>
      <c r="W77" s="842" t="s">
        <v>1030</v>
      </c>
      <c r="X77" s="174"/>
      <c r="Y77" s="937"/>
      <c r="Z77" s="194" t="s">
        <v>1176</v>
      </c>
      <c r="AA77" s="143"/>
      <c r="AB77" s="1036" t="s">
        <v>179</v>
      </c>
      <c r="AC77" s="165" t="s">
        <v>1031</v>
      </c>
      <c r="AD77" s="938" t="s">
        <v>1032</v>
      </c>
      <c r="AE77" s="350"/>
      <c r="AF77" s="20"/>
      <c r="AG77" s="194" t="s">
        <v>1176</v>
      </c>
      <c r="AH77" s="830"/>
      <c r="AI77" s="830"/>
      <c r="AJ77" s="1205" t="s">
        <v>1157</v>
      </c>
      <c r="AK77" s="346"/>
      <c r="AL77" s="1205" t="s">
        <v>1033</v>
      </c>
      <c r="AM77" s="106"/>
      <c r="AN77" s="140" t="s">
        <v>47</v>
      </c>
      <c r="AO77" s="349"/>
      <c r="AP77" s="446"/>
      <c r="AQ77" s="1044" t="s">
        <v>687</v>
      </c>
      <c r="AR77" s="213"/>
    </row>
    <row r="78" spans="1:57" s="12" customFormat="1">
      <c r="A78" s="801"/>
      <c r="B78" s="124"/>
      <c r="C78" s="68"/>
      <c r="D78" s="68"/>
      <c r="E78" s="189"/>
      <c r="F78" s="189"/>
      <c r="G78" s="189"/>
      <c r="H78" s="41"/>
      <c r="I78" s="409"/>
      <c r="J78" s="409"/>
      <c r="K78" s="409"/>
      <c r="L78" s="409"/>
      <c r="M78" s="409"/>
      <c r="N78" s="410"/>
      <c r="O78" s="409"/>
      <c r="P78" s="409"/>
      <c r="Q78" s="409"/>
      <c r="R78" s="136"/>
      <c r="S78" s="189"/>
      <c r="T78" s="189"/>
      <c r="U78" s="1187"/>
      <c r="V78" s="410"/>
      <c r="W78" s="410"/>
      <c r="X78" s="189"/>
      <c r="Y78" s="40"/>
      <c r="Z78" s="411"/>
      <c r="AA78" s="411"/>
      <c r="AB78" s="84"/>
      <c r="AC78" s="412"/>
      <c r="AD78" s="412"/>
      <c r="AE78" s="412"/>
      <c r="AF78" s="189"/>
      <c r="AG78" s="411"/>
      <c r="AH78" s="219"/>
      <c r="AI78" s="219"/>
      <c r="AJ78" s="411"/>
      <c r="AK78" s="411"/>
      <c r="AL78" s="413"/>
      <c r="AM78" s="413"/>
      <c r="AN78" s="56"/>
      <c r="AO78" s="56"/>
      <c r="AP78" s="852"/>
      <c r="AQ78" s="183"/>
      <c r="AR78" s="183"/>
      <c r="AV78" s="508" t="s">
        <v>82</v>
      </c>
    </row>
    <row r="79" spans="1:57" s="12" customFormat="1">
      <c r="A79" s="801"/>
      <c r="B79" s="124"/>
      <c r="C79" s="68"/>
      <c r="D79" s="68"/>
      <c r="E79" s="189"/>
      <c r="F79" s="189"/>
      <c r="G79" s="189"/>
      <c r="H79" s="41"/>
      <c r="I79" s="409"/>
      <c r="J79" s="409"/>
      <c r="K79" s="409"/>
      <c r="L79" s="409"/>
      <c r="M79" s="409"/>
      <c r="N79" s="410"/>
      <c r="O79" s="409"/>
      <c r="P79" s="409"/>
      <c r="Q79" s="409"/>
      <c r="R79" s="136"/>
      <c r="S79" s="189"/>
      <c r="T79" s="189"/>
      <c r="U79" s="1187"/>
      <c r="V79" s="410"/>
      <c r="W79" s="410"/>
      <c r="X79" s="189"/>
      <c r="Y79" s="40"/>
      <c r="Z79" s="411"/>
      <c r="AA79" s="411"/>
      <c r="AB79" s="84"/>
      <c r="AC79" s="412"/>
      <c r="AD79" s="412"/>
      <c r="AE79" s="412"/>
      <c r="AF79" s="189"/>
      <c r="AG79" s="411"/>
      <c r="AH79" s="219"/>
      <c r="AI79" s="219"/>
      <c r="AJ79" s="411"/>
      <c r="AK79" s="411"/>
      <c r="AL79" s="413"/>
      <c r="AM79" s="413"/>
      <c r="AN79" s="56"/>
      <c r="AO79" s="56"/>
      <c r="AP79" s="1271"/>
      <c r="AQ79" s="183"/>
      <c r="AR79" s="183"/>
      <c r="BE79" s="12" t="s">
        <v>82</v>
      </c>
    </row>
    <row r="80" spans="1:57" s="12" customFormat="1" ht="16" customHeight="1">
      <c r="A80" s="801"/>
      <c r="B80" s="337" t="s">
        <v>110</v>
      </c>
      <c r="C80" s="1568" t="s">
        <v>641</v>
      </c>
      <c r="D80" s="1568"/>
      <c r="E80" s="1568"/>
      <c r="F80" s="1568"/>
      <c r="G80" s="1568"/>
      <c r="H80" s="1568"/>
      <c r="I80" s="1568"/>
      <c r="J80" s="1568"/>
      <c r="K80" s="1568"/>
      <c r="L80" s="1568"/>
      <c r="M80" s="1568"/>
      <c r="N80" s="1568"/>
      <c r="O80" s="1568"/>
      <c r="P80" s="1568"/>
      <c r="Q80" s="1568"/>
      <c r="R80" s="1568"/>
      <c r="S80" s="1568"/>
      <c r="T80" s="1407"/>
      <c r="U80" s="1407"/>
      <c r="V80" s="1407"/>
      <c r="W80" s="1407"/>
      <c r="X80" s="1407"/>
      <c r="Y80" s="1407"/>
      <c r="Z80" s="1407"/>
      <c r="AA80" s="1407"/>
      <c r="AB80" s="1407"/>
      <c r="AC80" s="1407"/>
      <c r="AD80" s="1407"/>
      <c r="AE80" s="1407"/>
      <c r="AF80" s="1407"/>
      <c r="AG80" s="1407"/>
      <c r="AH80" s="1407"/>
      <c r="AI80" s="924"/>
      <c r="AJ80" s="27"/>
      <c r="AK80" s="17"/>
      <c r="AL80" s="99"/>
      <c r="AM80" s="99"/>
      <c r="AN80" s="30"/>
      <c r="AO80" s="30"/>
      <c r="AP80" s="1271"/>
      <c r="AQ80" s="183"/>
      <c r="AR80" s="183"/>
    </row>
    <row r="81" spans="1:57" s="1184" customFormat="1" ht="30" customHeight="1">
      <c r="A81" s="1122"/>
      <c r="B81" s="1176"/>
      <c r="C81" s="503" t="s">
        <v>116</v>
      </c>
      <c r="D81" s="1596" t="s">
        <v>28</v>
      </c>
      <c r="E81" s="1597"/>
      <c r="F81" s="1597"/>
      <c r="G81" s="1597"/>
      <c r="H81" s="1597"/>
      <c r="I81" s="1598"/>
      <c r="J81" s="1528" t="s">
        <v>104</v>
      </c>
      <c r="K81" s="1529"/>
      <c r="L81" s="1529"/>
      <c r="M81" s="1529"/>
      <c r="N81" s="1529"/>
      <c r="O81" s="1529"/>
      <c r="P81" s="1529"/>
      <c r="Q81" s="1529"/>
      <c r="R81" s="1599" t="s">
        <v>22</v>
      </c>
      <c r="S81" s="1600"/>
      <c r="T81" s="1516" t="s">
        <v>136</v>
      </c>
      <c r="U81" s="1517"/>
      <c r="V81" s="1517"/>
      <c r="W81" s="1517"/>
      <c r="X81" s="1517"/>
      <c r="Y81" s="1514" t="s">
        <v>126</v>
      </c>
      <c r="Z81" s="1515"/>
      <c r="AA81" s="1177"/>
      <c r="AB81" s="1178"/>
      <c r="AC81" s="1538" t="s">
        <v>101</v>
      </c>
      <c r="AD81" s="1539"/>
      <c r="AE81" s="1539"/>
      <c r="AF81" s="1591" t="s">
        <v>23</v>
      </c>
      <c r="AG81" s="1592"/>
      <c r="AH81" s="1216"/>
      <c r="AI81" s="1191"/>
      <c r="AJ81" s="1510" t="s">
        <v>25</v>
      </c>
      <c r="AK81" s="1510"/>
      <c r="AL81" s="1510"/>
      <c r="AM81" s="1510"/>
      <c r="AN81" s="1513"/>
      <c r="AO81" s="1180"/>
      <c r="AP81" s="1181"/>
      <c r="AQ81" s="1183"/>
      <c r="AR81" s="1183"/>
      <c r="AV81" s="1319" t="s">
        <v>82</v>
      </c>
    </row>
    <row r="82" spans="1:57" ht="15" customHeight="1">
      <c r="A82" s="804"/>
      <c r="C82" s="507"/>
      <c r="D82" s="86">
        <v>1</v>
      </c>
      <c r="E82" s="38">
        <f t="shared" ref="E82:AL82" si="73">D82+1</f>
        <v>2</v>
      </c>
      <c r="F82" s="38">
        <f t="shared" si="73"/>
        <v>3</v>
      </c>
      <c r="G82" s="38">
        <f>F82+1</f>
        <v>4</v>
      </c>
      <c r="H82" s="38">
        <f>G82+1</f>
        <v>5</v>
      </c>
      <c r="I82" s="38">
        <f>H82+1</f>
        <v>6</v>
      </c>
      <c r="J82" s="86">
        <f t="shared" si="73"/>
        <v>7</v>
      </c>
      <c r="K82" s="38">
        <f t="shared" si="73"/>
        <v>8</v>
      </c>
      <c r="L82" s="38">
        <f t="shared" si="73"/>
        <v>9</v>
      </c>
      <c r="M82" s="38">
        <f t="shared" si="73"/>
        <v>10</v>
      </c>
      <c r="N82" s="38">
        <f t="shared" si="73"/>
        <v>11</v>
      </c>
      <c r="O82" s="38">
        <f t="shared" si="73"/>
        <v>12</v>
      </c>
      <c r="P82" s="38">
        <f t="shared" si="73"/>
        <v>13</v>
      </c>
      <c r="Q82" s="38">
        <f t="shared" si="73"/>
        <v>14</v>
      </c>
      <c r="R82" s="86">
        <f>Q82+1</f>
        <v>15</v>
      </c>
      <c r="S82" s="87">
        <f t="shared" si="73"/>
        <v>16</v>
      </c>
      <c r="T82" s="86">
        <f t="shared" si="73"/>
        <v>17</v>
      </c>
      <c r="U82" s="38">
        <f t="shared" si="73"/>
        <v>18</v>
      </c>
      <c r="V82" s="38">
        <f>U82+1</f>
        <v>19</v>
      </c>
      <c r="W82" s="38">
        <f>V82+1</f>
        <v>20</v>
      </c>
      <c r="X82" s="38">
        <f t="shared" si="73"/>
        <v>21</v>
      </c>
      <c r="Y82" s="358">
        <f>X82+1</f>
        <v>22</v>
      </c>
      <c r="Z82" s="359">
        <f t="shared" si="73"/>
        <v>23</v>
      </c>
      <c r="AA82" s="358">
        <f t="shared" si="73"/>
        <v>24</v>
      </c>
      <c r="AB82" s="359">
        <f t="shared" si="73"/>
        <v>25</v>
      </c>
      <c r="AC82" s="358">
        <f t="shared" si="73"/>
        <v>26</v>
      </c>
      <c r="AD82" s="117">
        <f t="shared" si="73"/>
        <v>27</v>
      </c>
      <c r="AE82" s="117">
        <f t="shared" si="73"/>
        <v>28</v>
      </c>
      <c r="AF82" s="358">
        <f t="shared" si="73"/>
        <v>29</v>
      </c>
      <c r="AG82" s="359">
        <f t="shared" si="73"/>
        <v>30</v>
      </c>
      <c r="AH82" s="38">
        <f t="shared" si="73"/>
        <v>31</v>
      </c>
      <c r="AI82" s="86">
        <f>AH82+1</f>
        <v>32</v>
      </c>
      <c r="AJ82" s="38">
        <f>AI82+1</f>
        <v>33</v>
      </c>
      <c r="AK82" s="38">
        <f t="shared" si="73"/>
        <v>34</v>
      </c>
      <c r="AL82" s="38">
        <f t="shared" si="73"/>
        <v>35</v>
      </c>
      <c r="AM82" s="38">
        <f>AL82+1</f>
        <v>36</v>
      </c>
      <c r="AN82" s="359">
        <f>AM82+1</f>
        <v>37</v>
      </c>
      <c r="AO82" s="117">
        <f>AN82+1</f>
        <v>38</v>
      </c>
      <c r="AP82" s="457"/>
    </row>
    <row r="83" spans="1:57" s="4" customFormat="1" ht="174" customHeight="1">
      <c r="A83" s="806"/>
      <c r="C83" s="1068" t="s">
        <v>1035</v>
      </c>
      <c r="D83" s="1026" t="s">
        <v>688</v>
      </c>
      <c r="E83" s="1025" t="s">
        <v>689</v>
      </c>
      <c r="F83" s="1025" t="s">
        <v>407</v>
      </c>
      <c r="G83" s="1027" t="s">
        <v>408</v>
      </c>
      <c r="H83" s="418" t="s">
        <v>409</v>
      </c>
      <c r="I83" s="939" t="s">
        <v>690</v>
      </c>
      <c r="J83" s="1026" t="s">
        <v>691</v>
      </c>
      <c r="K83" s="1025" t="s">
        <v>692</v>
      </c>
      <c r="L83" s="1025" t="s">
        <v>1036</v>
      </c>
      <c r="M83" s="1027" t="s">
        <v>693</v>
      </c>
      <c r="N83" s="1025" t="s">
        <v>694</v>
      </c>
      <c r="O83" s="1025" t="s">
        <v>253</v>
      </c>
      <c r="P83" s="1025" t="s">
        <v>695</v>
      </c>
      <c r="Q83" s="1027" t="s">
        <v>418</v>
      </c>
      <c r="R83" s="179" t="s">
        <v>492</v>
      </c>
      <c r="S83" s="322" t="s">
        <v>493</v>
      </c>
      <c r="T83" s="1030" t="s">
        <v>696</v>
      </c>
      <c r="U83" s="819" t="s">
        <v>697</v>
      </c>
      <c r="V83" s="819" t="s">
        <v>698</v>
      </c>
      <c r="W83" s="1101" t="s">
        <v>699</v>
      </c>
      <c r="X83" s="819" t="s">
        <v>700</v>
      </c>
      <c r="Y83" s="175" t="s">
        <v>425</v>
      </c>
      <c r="Z83" s="545" t="s">
        <v>520</v>
      </c>
      <c r="AA83" s="819" t="s">
        <v>650</v>
      </c>
      <c r="AB83" s="819" t="s">
        <v>428</v>
      </c>
      <c r="AC83" s="1026" t="s">
        <v>429</v>
      </c>
      <c r="AD83" s="819" t="s">
        <v>701</v>
      </c>
      <c r="AE83" s="819" t="s">
        <v>431</v>
      </c>
      <c r="AF83" s="154" t="s">
        <v>432</v>
      </c>
      <c r="AG83" s="615" t="s">
        <v>639</v>
      </c>
      <c r="AH83" s="1031" t="s">
        <v>434</v>
      </c>
      <c r="AI83" s="1087" t="s">
        <v>346</v>
      </c>
      <c r="AJ83" s="1055" t="s">
        <v>435</v>
      </c>
      <c r="AK83" s="1172" t="s">
        <v>4</v>
      </c>
      <c r="AL83" s="1056" t="s">
        <v>27</v>
      </c>
      <c r="AM83" s="819" t="s">
        <v>402</v>
      </c>
      <c r="AN83" s="820" t="s">
        <v>343</v>
      </c>
      <c r="AO83" s="570" t="s">
        <v>436</v>
      </c>
      <c r="AP83" s="445"/>
      <c r="AQ83" s="1068" t="s">
        <v>1035</v>
      </c>
      <c r="AR83" s="418" t="s">
        <v>438</v>
      </c>
      <c r="AS83" s="418" t="s">
        <v>531</v>
      </c>
      <c r="AT83" s="361" t="s">
        <v>440</v>
      </c>
      <c r="AU83" s="861" t="s">
        <v>403</v>
      </c>
      <c r="AV83" s="861" t="s">
        <v>746</v>
      </c>
      <c r="BE83" s="978" t="s">
        <v>779</v>
      </c>
    </row>
    <row r="84" spans="1:57" ht="15" customHeight="1">
      <c r="A84" s="814">
        <f>A76+1</f>
        <v>23</v>
      </c>
      <c r="B84" s="771">
        <f>B73+1</f>
        <v>2</v>
      </c>
      <c r="C84" s="273" t="s">
        <v>1225</v>
      </c>
      <c r="D84" s="312">
        <v>372</v>
      </c>
      <c r="E84" s="313">
        <f>2*D84</f>
        <v>744</v>
      </c>
      <c r="F84" s="276">
        <f>(2*327)</f>
        <v>654</v>
      </c>
      <c r="G84" s="315">
        <f>F84*1.15</f>
        <v>752.09999999999991</v>
      </c>
      <c r="H84" s="236">
        <f>(E84*0.23)</f>
        <v>171.12</v>
      </c>
      <c r="I84" s="235">
        <f>0.5*(H84*1.1)</f>
        <v>94.116000000000014</v>
      </c>
      <c r="J84" s="629" t="s">
        <v>50</v>
      </c>
      <c r="K84" s="629">
        <v>240</v>
      </c>
      <c r="L84" s="629">
        <v>15</v>
      </c>
      <c r="M84" s="629">
        <f>183-102</f>
        <v>81</v>
      </c>
      <c r="N84" s="629">
        <v>132</v>
      </c>
      <c r="O84" s="629" t="s">
        <v>50</v>
      </c>
      <c r="P84" s="629" t="s">
        <v>50</v>
      </c>
      <c r="Q84" s="629">
        <f>SUM(J84:P84)</f>
        <v>468</v>
      </c>
      <c r="R84" s="438">
        <f>2*Q84</f>
        <v>936</v>
      </c>
      <c r="S84" s="746">
        <f>R84+(2*71)</f>
        <v>1078</v>
      </c>
      <c r="T84" s="644">
        <v>10</v>
      </c>
      <c r="U84" s="608">
        <v>64</v>
      </c>
      <c r="V84" s="608">
        <v>13</v>
      </c>
      <c r="W84" s="773" t="s">
        <v>50</v>
      </c>
      <c r="X84" s="608">
        <f>SUM(T84:W84)</f>
        <v>87</v>
      </c>
      <c r="Y84" s="620">
        <f>2*X84</f>
        <v>174</v>
      </c>
      <c r="Z84" s="622">
        <f>(Y84)+(23)</f>
        <v>197</v>
      </c>
      <c r="AA84" s="612">
        <f>Z84-H84</f>
        <v>25.879999999999995</v>
      </c>
      <c r="AB84" s="618">
        <f>Z84-I84</f>
        <v>102.88399999999999</v>
      </c>
      <c r="AC84" s="946">
        <v>138</v>
      </c>
      <c r="AD84" s="612">
        <f>(33.89)+(AC84*0.2095)</f>
        <v>62.801000000000002</v>
      </c>
      <c r="AE84" s="612">
        <f>X84-U84+AD84</f>
        <v>85.801000000000002</v>
      </c>
      <c r="AF84" s="623">
        <f>2*AE84</f>
        <v>171.602</v>
      </c>
      <c r="AG84" s="628">
        <f>(AF84)+(23)</f>
        <v>194.602</v>
      </c>
      <c r="AH84" s="633">
        <f>AG84-I84</f>
        <v>100.48599999999999</v>
      </c>
      <c r="AI84" s="1076" t="s">
        <v>374</v>
      </c>
      <c r="AJ84" s="1088">
        <v>263</v>
      </c>
      <c r="AK84" s="1089">
        <f>(2*AJ84)+(2*71)+(2*45)</f>
        <v>758</v>
      </c>
      <c r="AL84" s="1089">
        <f>S84-AK84</f>
        <v>320</v>
      </c>
      <c r="AM84" s="666" t="s">
        <v>113</v>
      </c>
      <c r="AN84" s="235">
        <f>(181)+(23)</f>
        <v>204</v>
      </c>
      <c r="AO84" s="236">
        <f>Z84-AN84</f>
        <v>-7</v>
      </c>
      <c r="AP84" s="448"/>
      <c r="AQ84" s="304" t="s">
        <v>17</v>
      </c>
      <c r="AR84" s="632">
        <f>H84</f>
        <v>171.12</v>
      </c>
      <c r="AS84" s="632">
        <f>Z84</f>
        <v>197</v>
      </c>
      <c r="AT84" s="632">
        <f t="shared" ref="AT84" si="74">AN84</f>
        <v>204</v>
      </c>
      <c r="AU84" s="292">
        <f>S84-G84</f>
        <v>325.90000000000009</v>
      </c>
      <c r="AV84" s="292">
        <f t="shared" ref="AV84" si="75">AL84</f>
        <v>320</v>
      </c>
      <c r="AW84" s="110"/>
      <c r="AX84" s="111"/>
      <c r="AY84" s="112"/>
      <c r="AZ84" s="112"/>
      <c r="BA84" s="113"/>
      <c r="BB84" s="113"/>
      <c r="BE84" s="957">
        <f>B84</f>
        <v>2</v>
      </c>
    </row>
    <row r="85" spans="1:57" s="147" customFormat="1">
      <c r="A85" s="814">
        <f>A84+1</f>
        <v>24</v>
      </c>
      <c r="B85" s="780">
        <f>B76+1</f>
        <v>22</v>
      </c>
      <c r="C85" s="271" t="s">
        <v>1034</v>
      </c>
      <c r="D85" s="312">
        <v>386</v>
      </c>
      <c r="E85" s="313">
        <f>2*D85</f>
        <v>772</v>
      </c>
      <c r="F85" s="276">
        <f>(2*346)</f>
        <v>692</v>
      </c>
      <c r="G85" s="315">
        <f>F85*1.15</f>
        <v>795.8</v>
      </c>
      <c r="H85" s="236">
        <f>(E85*0.23)</f>
        <v>177.56</v>
      </c>
      <c r="I85" s="235">
        <f>0.5*(H85*1.1)</f>
        <v>97.658000000000015</v>
      </c>
      <c r="J85" s="629" t="s">
        <v>50</v>
      </c>
      <c r="K85" s="629">
        <v>240</v>
      </c>
      <c r="L85" s="629">
        <v>15</v>
      </c>
      <c r="M85" s="629">
        <f t="shared" ref="M85:M87" si="76">183-102</f>
        <v>81</v>
      </c>
      <c r="N85" s="629">
        <v>160</v>
      </c>
      <c r="O85" s="629" t="s">
        <v>50</v>
      </c>
      <c r="P85" s="629" t="s">
        <v>50</v>
      </c>
      <c r="Q85" s="629">
        <f>SUM(J85:P85)</f>
        <v>496</v>
      </c>
      <c r="R85" s="438">
        <f>2*Q85</f>
        <v>992</v>
      </c>
      <c r="S85" s="746">
        <f>R85+(2*71)</f>
        <v>1134</v>
      </c>
      <c r="T85" s="644">
        <v>10</v>
      </c>
      <c r="U85" s="608">
        <v>64</v>
      </c>
      <c r="V85" s="608">
        <v>13</v>
      </c>
      <c r="W85" s="773" t="s">
        <v>50</v>
      </c>
      <c r="X85" s="608">
        <f>SUM(T85:W85)</f>
        <v>87</v>
      </c>
      <c r="Y85" s="620">
        <f>2*X85</f>
        <v>174</v>
      </c>
      <c r="Z85" s="622">
        <f>(Y85)+(23)</f>
        <v>197</v>
      </c>
      <c r="AA85" s="612">
        <f>Z85-H85</f>
        <v>19.439999999999998</v>
      </c>
      <c r="AB85" s="618">
        <f>Z85-I85</f>
        <v>99.341999999999985</v>
      </c>
      <c r="AC85" s="946">
        <v>138</v>
      </c>
      <c r="AD85" s="612">
        <f>(33.89)+(AC85*0.2095)</f>
        <v>62.801000000000002</v>
      </c>
      <c r="AE85" s="612">
        <f>X85-U85+AD85</f>
        <v>85.801000000000002</v>
      </c>
      <c r="AF85" s="623">
        <f>2*AE85</f>
        <v>171.602</v>
      </c>
      <c r="AG85" s="628">
        <f>(AF85)+(23)</f>
        <v>194.602</v>
      </c>
      <c r="AH85" s="633">
        <f>AG85-I85</f>
        <v>96.943999999999988</v>
      </c>
      <c r="AI85" s="1076" t="s">
        <v>349</v>
      </c>
      <c r="AJ85" s="1106">
        <v>96</v>
      </c>
      <c r="AK85" s="1089">
        <f>(2*AJ85)+(2*71)+(2*45)</f>
        <v>424</v>
      </c>
      <c r="AL85" s="1106">
        <f>S85-AK85</f>
        <v>710</v>
      </c>
      <c r="AM85" s="666" t="s">
        <v>113</v>
      </c>
      <c r="AN85" s="235">
        <f>154+(23)</f>
        <v>177</v>
      </c>
      <c r="AO85" s="236">
        <f>Z85-AN85</f>
        <v>20</v>
      </c>
      <c r="AP85" s="448"/>
      <c r="AQ85" s="271" t="s">
        <v>1042</v>
      </c>
      <c r="AR85" s="632">
        <f>H85</f>
        <v>177.56</v>
      </c>
      <c r="AS85" s="632">
        <f>Z85</f>
        <v>197</v>
      </c>
      <c r="AT85" s="632">
        <f t="shared" ref="AT85:AT87" si="77">AN85</f>
        <v>177</v>
      </c>
      <c r="AU85" s="292">
        <f>S85-G85</f>
        <v>338.20000000000005</v>
      </c>
      <c r="AV85" s="292">
        <f t="shared" ref="AV85:AV87" si="78">AL85</f>
        <v>710</v>
      </c>
      <c r="BE85" s="990">
        <f t="shared" ref="BE85:BE87" si="79">B85</f>
        <v>22</v>
      </c>
    </row>
    <row r="86" spans="1:57" s="610" customFormat="1">
      <c r="A86" s="814">
        <f t="shared" ref="A86:B87" si="80">A85+1</f>
        <v>25</v>
      </c>
      <c r="B86" s="780">
        <f t="shared" si="80"/>
        <v>23</v>
      </c>
      <c r="C86" s="271" t="s">
        <v>243</v>
      </c>
      <c r="D86" s="312">
        <v>406</v>
      </c>
      <c r="E86" s="313">
        <f>2*D86</f>
        <v>812</v>
      </c>
      <c r="F86" s="276">
        <f>(2*346)</f>
        <v>692</v>
      </c>
      <c r="G86" s="315">
        <f>F86*1.15</f>
        <v>795.8</v>
      </c>
      <c r="H86" s="236">
        <f>(E86*0.23)</f>
        <v>186.76000000000002</v>
      </c>
      <c r="I86" s="235">
        <f>0.5*(H86*1.1)</f>
        <v>102.71800000000002</v>
      </c>
      <c r="J86" s="629" t="s">
        <v>50</v>
      </c>
      <c r="K86" s="629">
        <v>240</v>
      </c>
      <c r="L86" s="629">
        <v>15</v>
      </c>
      <c r="M86" s="629">
        <f t="shared" si="76"/>
        <v>81</v>
      </c>
      <c r="N86" s="629">
        <v>160</v>
      </c>
      <c r="O86" s="629">
        <v>15</v>
      </c>
      <c r="P86" s="629">
        <v>34</v>
      </c>
      <c r="Q86" s="629">
        <f>SUM(J86:P86)</f>
        <v>545</v>
      </c>
      <c r="R86" s="438">
        <f>2*Q86</f>
        <v>1090</v>
      </c>
      <c r="S86" s="746">
        <f>R86+(2*71)</f>
        <v>1232</v>
      </c>
      <c r="T86" s="644">
        <v>10</v>
      </c>
      <c r="U86" s="608">
        <v>64</v>
      </c>
      <c r="V86" s="608">
        <v>13</v>
      </c>
      <c r="W86" s="940">
        <v>6.5</v>
      </c>
      <c r="X86" s="608">
        <f>SUM(T86:W86)</f>
        <v>93.5</v>
      </c>
      <c r="Y86" s="620">
        <f>2*X86</f>
        <v>187</v>
      </c>
      <c r="Z86" s="622">
        <f>(Y86)+(23)</f>
        <v>210</v>
      </c>
      <c r="AA86" s="612">
        <f>Z86-H86</f>
        <v>23.239999999999981</v>
      </c>
      <c r="AB86" s="618">
        <f>Z86-I86</f>
        <v>107.28199999999998</v>
      </c>
      <c r="AC86" s="946">
        <v>138</v>
      </c>
      <c r="AD86" s="612">
        <f>(33.89)+(AC86*0.2095)</f>
        <v>62.801000000000002</v>
      </c>
      <c r="AE86" s="612">
        <f>X86-U86+AD86</f>
        <v>92.301000000000002</v>
      </c>
      <c r="AF86" s="623">
        <f>2*AE86</f>
        <v>184.602</v>
      </c>
      <c r="AG86" s="628">
        <f>(AF86)+(23)</f>
        <v>207.602</v>
      </c>
      <c r="AH86" s="633">
        <f>AG86-I86</f>
        <v>104.88399999999999</v>
      </c>
      <c r="AI86" s="1076" t="s">
        <v>349</v>
      </c>
      <c r="AJ86" s="1088">
        <v>96</v>
      </c>
      <c r="AK86" s="1089">
        <f>(2*AJ86)+(2*71)+(2*45)</f>
        <v>424</v>
      </c>
      <c r="AL86" s="1089">
        <f>S86-AK86</f>
        <v>808</v>
      </c>
      <c r="AM86" s="611">
        <v>15</v>
      </c>
      <c r="AN86" s="235">
        <f>(154)+(23)+AM86</f>
        <v>192</v>
      </c>
      <c r="AO86" s="236">
        <f>Z86-AN86</f>
        <v>18</v>
      </c>
      <c r="AP86" s="448"/>
      <c r="AQ86" s="271" t="s">
        <v>274</v>
      </c>
      <c r="AR86" s="632">
        <f>H86</f>
        <v>186.76000000000002</v>
      </c>
      <c r="AS86" s="632">
        <f>Z86</f>
        <v>210</v>
      </c>
      <c r="AT86" s="632">
        <f t="shared" si="77"/>
        <v>192</v>
      </c>
      <c r="AU86" s="292">
        <f>S86-G86</f>
        <v>436.20000000000005</v>
      </c>
      <c r="AV86" s="292">
        <f t="shared" si="78"/>
        <v>808</v>
      </c>
      <c r="BE86" s="990">
        <f t="shared" si="79"/>
        <v>23</v>
      </c>
    </row>
    <row r="87" spans="1:57" s="242" customFormat="1">
      <c r="A87" s="814">
        <f t="shared" si="80"/>
        <v>26</v>
      </c>
      <c r="B87" s="780">
        <f t="shared" si="80"/>
        <v>24</v>
      </c>
      <c r="C87" s="279" t="s">
        <v>334</v>
      </c>
      <c r="D87" s="312">
        <v>415</v>
      </c>
      <c r="E87" s="313">
        <f>2*D87</f>
        <v>830</v>
      </c>
      <c r="F87" s="276">
        <f>2*375</f>
        <v>750</v>
      </c>
      <c r="G87" s="315">
        <f>F87*1.15</f>
        <v>862.49999999999989</v>
      </c>
      <c r="H87" s="236">
        <f>(E87*0.23)</f>
        <v>190.9</v>
      </c>
      <c r="I87" s="235">
        <f>0.5*(H87*1.1)</f>
        <v>104.995</v>
      </c>
      <c r="J87" s="629" t="s">
        <v>50</v>
      </c>
      <c r="K87" s="629">
        <v>240</v>
      </c>
      <c r="L87" s="629">
        <v>15</v>
      </c>
      <c r="M87" s="629">
        <f t="shared" si="76"/>
        <v>81</v>
      </c>
      <c r="N87" s="629">
        <v>160</v>
      </c>
      <c r="O87" s="629">
        <v>15</v>
      </c>
      <c r="P87" s="629">
        <v>48</v>
      </c>
      <c r="Q87" s="629">
        <f>SUM(J87:P87)</f>
        <v>559</v>
      </c>
      <c r="R87" s="438">
        <f>2*Q87</f>
        <v>1118</v>
      </c>
      <c r="S87" s="746">
        <f>R87+(2*71)</f>
        <v>1260</v>
      </c>
      <c r="T87" s="644">
        <v>10</v>
      </c>
      <c r="U87" s="608">
        <v>64</v>
      </c>
      <c r="V87" s="608">
        <v>13</v>
      </c>
      <c r="W87" s="608">
        <v>8.75</v>
      </c>
      <c r="X87" s="608">
        <f>SUM(T87:W87)</f>
        <v>95.75</v>
      </c>
      <c r="Y87" s="620">
        <f>2*X87</f>
        <v>191.5</v>
      </c>
      <c r="Z87" s="622">
        <f>(Y87)+(23)</f>
        <v>214.5</v>
      </c>
      <c r="AA87" s="612">
        <f>Z87-H87</f>
        <v>23.599999999999994</v>
      </c>
      <c r="AB87" s="618">
        <f>Z87-I87</f>
        <v>109.505</v>
      </c>
      <c r="AC87" s="946">
        <v>138</v>
      </c>
      <c r="AD87" s="612">
        <f t="shared" ref="AD87" si="81">(33.89)+(AC87*0.2095)</f>
        <v>62.801000000000002</v>
      </c>
      <c r="AE87" s="612">
        <f>X87-U87+AD87</f>
        <v>94.551000000000002</v>
      </c>
      <c r="AF87" s="623">
        <f>2*AE87</f>
        <v>189.102</v>
      </c>
      <c r="AG87" s="628">
        <f>(AF87)+(23)</f>
        <v>212.102</v>
      </c>
      <c r="AH87" s="626">
        <f>AG87-I87</f>
        <v>107.107</v>
      </c>
      <c r="AI87" s="1076" t="s">
        <v>349</v>
      </c>
      <c r="AJ87" s="1106">
        <v>96</v>
      </c>
      <c r="AK87" s="1106">
        <f>(2*AJ87)+(2*71)+(2*45)</f>
        <v>424</v>
      </c>
      <c r="AL87" s="1106">
        <f>S87-AK87</f>
        <v>836</v>
      </c>
      <c r="AM87" s="612">
        <v>15</v>
      </c>
      <c r="AN87" s="235">
        <f>154+(23)+AM87</f>
        <v>192</v>
      </c>
      <c r="AO87" s="236">
        <f>Z87-AN87</f>
        <v>22.5</v>
      </c>
      <c r="AP87" s="448"/>
      <c r="AQ87" s="279" t="s">
        <v>13</v>
      </c>
      <c r="AR87" s="632">
        <f>H87</f>
        <v>190.9</v>
      </c>
      <c r="AS87" s="632">
        <f>Z87</f>
        <v>214.5</v>
      </c>
      <c r="AT87" s="632">
        <f t="shared" si="77"/>
        <v>192</v>
      </c>
      <c r="AU87" s="292">
        <f>S87-G87</f>
        <v>397.50000000000011</v>
      </c>
      <c r="AV87" s="292">
        <f t="shared" si="78"/>
        <v>836</v>
      </c>
      <c r="BE87" s="990">
        <f t="shared" si="79"/>
        <v>24</v>
      </c>
    </row>
    <row r="88" spans="1:57" s="316" customFormat="1" ht="305" customHeight="1">
      <c r="B88" s="124"/>
      <c r="C88" s="1044" t="s">
        <v>1043</v>
      </c>
      <c r="D88" s="1446" t="s">
        <v>1045</v>
      </c>
      <c r="E88" s="1365"/>
      <c r="F88" s="894" t="s">
        <v>1022</v>
      </c>
      <c r="G88" s="1185" t="s">
        <v>1023</v>
      </c>
      <c r="H88" s="1189" t="s">
        <v>1024</v>
      </c>
      <c r="I88" s="844"/>
      <c r="J88" s="1062" t="s">
        <v>55</v>
      </c>
      <c r="K88" s="1062" t="s">
        <v>177</v>
      </c>
      <c r="L88" s="1202" t="s">
        <v>1028</v>
      </c>
      <c r="M88" s="1202" t="s">
        <v>187</v>
      </c>
      <c r="N88" s="1202" t="s">
        <v>178</v>
      </c>
      <c r="O88" s="1019" t="s">
        <v>1037</v>
      </c>
      <c r="P88" s="843" t="s">
        <v>1038</v>
      </c>
      <c r="Q88" s="849"/>
      <c r="R88" s="218"/>
      <c r="S88" s="334" t="s">
        <v>1169</v>
      </c>
      <c r="T88" s="1063" t="s">
        <v>1040</v>
      </c>
      <c r="U88" s="1063" t="s">
        <v>130</v>
      </c>
      <c r="V88" s="1063" t="s">
        <v>147</v>
      </c>
      <c r="W88" s="1063" t="s">
        <v>1039</v>
      </c>
      <c r="X88" s="41"/>
      <c r="Y88" s="220"/>
      <c r="Z88" s="194" t="s">
        <v>1176</v>
      </c>
      <c r="AA88" s="143"/>
      <c r="AB88" s="92"/>
      <c r="AC88" s="1190" t="s">
        <v>132</v>
      </c>
      <c r="AD88" s="938" t="s">
        <v>702</v>
      </c>
      <c r="AE88" s="120"/>
      <c r="AF88" s="221"/>
      <c r="AG88" s="194" t="s">
        <v>1176</v>
      </c>
      <c r="AH88" s="956"/>
      <c r="AI88" s="922"/>
      <c r="AJ88" s="1205" t="s">
        <v>1157</v>
      </c>
      <c r="AK88" s="170"/>
      <c r="AL88" s="1205" t="s">
        <v>1033</v>
      </c>
      <c r="AM88" s="108"/>
      <c r="AN88" s="215" t="s">
        <v>47</v>
      </c>
      <c r="AO88" s="61"/>
      <c r="AP88" s="445"/>
      <c r="AQ88" s="1218" t="s">
        <v>772</v>
      </c>
      <c r="AR88" s="281"/>
      <c r="AS88" s="317"/>
    </row>
    <row r="89" spans="1:57" ht="17" customHeight="1">
      <c r="AC89" s="19"/>
      <c r="AD89" s="19"/>
      <c r="AE89" s="19"/>
      <c r="AI89" s="56"/>
      <c r="AV89" s="1278" t="s">
        <v>82</v>
      </c>
    </row>
    <row r="90" spans="1:57">
      <c r="AC90" s="19"/>
      <c r="AD90" s="19"/>
      <c r="AE90" s="19"/>
      <c r="AI90" s="56"/>
    </row>
    <row r="91" spans="1:57">
      <c r="B91" s="337" t="s">
        <v>54</v>
      </c>
      <c r="C91" s="1568" t="s">
        <v>641</v>
      </c>
      <c r="D91" s="1568"/>
      <c r="E91" s="1568"/>
      <c r="F91" s="1568"/>
      <c r="G91" s="1568"/>
      <c r="H91" s="1568"/>
      <c r="I91" s="1568"/>
      <c r="J91" s="1568"/>
      <c r="K91" s="1568"/>
      <c r="L91" s="1568"/>
      <c r="M91" s="1568"/>
      <c r="N91" s="1568"/>
      <c r="O91" s="1568"/>
      <c r="P91" s="1568"/>
      <c r="Q91" s="1568"/>
      <c r="R91" s="1568"/>
      <c r="S91" s="1568"/>
      <c r="T91" s="1407"/>
      <c r="U91" s="1407"/>
      <c r="V91" s="1407"/>
      <c r="W91" s="1407"/>
      <c r="X91" s="1407"/>
      <c r="Y91" s="1407"/>
      <c r="Z91" s="1407"/>
      <c r="AA91" s="1407"/>
      <c r="AB91" s="1407"/>
      <c r="AC91" s="1407"/>
      <c r="AD91" s="1407"/>
      <c r="AE91" s="1407"/>
      <c r="AF91" s="1407"/>
      <c r="AG91" s="1407"/>
      <c r="AH91" s="1407"/>
      <c r="AI91" s="924"/>
      <c r="AJ91" s="63"/>
      <c r="AK91" s="52"/>
      <c r="AL91" s="107"/>
      <c r="AM91" s="107"/>
      <c r="AN91" s="56"/>
      <c r="AO91" s="56"/>
      <c r="AP91" s="446"/>
    </row>
    <row r="92" spans="1:57" s="1122" customFormat="1" ht="33" customHeight="1">
      <c r="B92" s="1116"/>
      <c r="C92" s="1117" t="s">
        <v>116</v>
      </c>
      <c r="D92" s="1524" t="s">
        <v>28</v>
      </c>
      <c r="E92" s="1524"/>
      <c r="F92" s="1524"/>
      <c r="G92" s="1524"/>
      <c r="H92" s="1524"/>
      <c r="I92" s="1525"/>
      <c r="J92" s="1523" t="s">
        <v>104</v>
      </c>
      <c r="K92" s="1448"/>
      <c r="L92" s="1448"/>
      <c r="M92" s="1448"/>
      <c r="N92" s="1448"/>
      <c r="O92" s="1448"/>
      <c r="P92" s="1448"/>
      <c r="Q92" s="1448"/>
      <c r="R92" s="1520" t="s">
        <v>22</v>
      </c>
      <c r="S92" s="1520"/>
      <c r="T92" s="1409" t="s">
        <v>136</v>
      </c>
      <c r="U92" s="1410"/>
      <c r="V92" s="1410"/>
      <c r="W92" s="1410"/>
      <c r="X92" s="1410"/>
      <c r="Y92" s="1411" t="s">
        <v>126</v>
      </c>
      <c r="Z92" s="1412"/>
      <c r="AA92" s="1223"/>
      <c r="AB92" s="1224"/>
      <c r="AC92" s="1526" t="s">
        <v>101</v>
      </c>
      <c r="AD92" s="1527"/>
      <c r="AE92" s="1527"/>
      <c r="AF92" s="1584" t="s">
        <v>23</v>
      </c>
      <c r="AG92" s="1585"/>
      <c r="AH92" s="1225"/>
      <c r="AI92" s="1131"/>
      <c r="AJ92" s="1554" t="s">
        <v>25</v>
      </c>
      <c r="AK92" s="1586"/>
      <c r="AL92" s="1586"/>
      <c r="AM92" s="1586"/>
      <c r="AN92" s="1555"/>
      <c r="AO92" s="1120"/>
      <c r="AP92" s="1121"/>
      <c r="AQ92" s="1147"/>
      <c r="AR92" s="1147"/>
      <c r="AV92" s="1317" t="s">
        <v>82</v>
      </c>
    </row>
    <row r="93" spans="1:57" ht="15" customHeight="1">
      <c r="C93" s="507"/>
      <c r="D93" s="197">
        <v>1</v>
      </c>
      <c r="E93" s="200">
        <f>D93+1</f>
        <v>2</v>
      </c>
      <c r="F93" s="200">
        <f t="shared" ref="F93:R93" si="82">E93+1</f>
        <v>3</v>
      </c>
      <c r="G93" s="200">
        <f t="shared" si="82"/>
        <v>4</v>
      </c>
      <c r="H93" s="200">
        <f t="shared" si="82"/>
        <v>5</v>
      </c>
      <c r="I93" s="199">
        <f t="shared" si="82"/>
        <v>6</v>
      </c>
      <c r="J93" s="197">
        <f t="shared" si="82"/>
        <v>7</v>
      </c>
      <c r="K93" s="200">
        <f t="shared" si="82"/>
        <v>8</v>
      </c>
      <c r="L93" s="200">
        <f t="shared" si="82"/>
        <v>9</v>
      </c>
      <c r="M93" s="200">
        <f t="shared" si="82"/>
        <v>10</v>
      </c>
      <c r="N93" s="200">
        <f t="shared" si="82"/>
        <v>11</v>
      </c>
      <c r="O93" s="200">
        <f t="shared" si="82"/>
        <v>12</v>
      </c>
      <c r="P93" s="200">
        <f t="shared" si="82"/>
        <v>13</v>
      </c>
      <c r="Q93" s="199">
        <f t="shared" si="82"/>
        <v>14</v>
      </c>
      <c r="R93" s="197">
        <f t="shared" si="82"/>
        <v>15</v>
      </c>
      <c r="S93" s="199">
        <v>16</v>
      </c>
      <c r="T93" s="197">
        <v>17</v>
      </c>
      <c r="U93" s="200">
        <v>18</v>
      </c>
      <c r="V93" s="200">
        <f>U93+1</f>
        <v>19</v>
      </c>
      <c r="W93" s="200">
        <f>V93+1</f>
        <v>20</v>
      </c>
      <c r="X93" s="200">
        <f>W93+1</f>
        <v>21</v>
      </c>
      <c r="Y93" s="197">
        <f>X93+1</f>
        <v>22</v>
      </c>
      <c r="Z93" s="199">
        <f>Y93+1</f>
        <v>23</v>
      </c>
      <c r="AA93" s="197">
        <f t="shared" ref="AA93:AO93" si="83">Z93+1</f>
        <v>24</v>
      </c>
      <c r="AB93" s="199">
        <f t="shared" si="83"/>
        <v>25</v>
      </c>
      <c r="AC93" s="197">
        <f t="shared" si="83"/>
        <v>26</v>
      </c>
      <c r="AD93" s="200">
        <f t="shared" si="83"/>
        <v>27</v>
      </c>
      <c r="AE93" s="200">
        <f t="shared" si="83"/>
        <v>28</v>
      </c>
      <c r="AF93" s="197">
        <f t="shared" si="83"/>
        <v>29</v>
      </c>
      <c r="AG93" s="199">
        <f t="shared" si="83"/>
        <v>30</v>
      </c>
      <c r="AH93" s="197">
        <f t="shared" si="83"/>
        <v>31</v>
      </c>
      <c r="AI93" s="86">
        <f>AH93+1</f>
        <v>32</v>
      </c>
      <c r="AJ93" s="38">
        <f>AI93+1</f>
        <v>33</v>
      </c>
      <c r="AK93" s="200">
        <f t="shared" si="83"/>
        <v>34</v>
      </c>
      <c r="AL93" s="200">
        <f t="shared" si="83"/>
        <v>35</v>
      </c>
      <c r="AM93" s="38">
        <f>AL93+1</f>
        <v>36</v>
      </c>
      <c r="AN93" s="359">
        <f>AM93+1</f>
        <v>37</v>
      </c>
      <c r="AO93" s="197">
        <f t="shared" si="83"/>
        <v>38</v>
      </c>
      <c r="AP93" s="459"/>
    </row>
    <row r="94" spans="1:57" ht="148" customHeight="1">
      <c r="B94" s="462"/>
      <c r="C94" s="1068" t="s">
        <v>1044</v>
      </c>
      <c r="D94" s="1219" t="s">
        <v>1047</v>
      </c>
      <c r="E94" s="1027" t="s">
        <v>704</v>
      </c>
      <c r="F94" s="1027" t="s">
        <v>407</v>
      </c>
      <c r="G94" s="1027" t="s">
        <v>408</v>
      </c>
      <c r="H94" s="418" t="s">
        <v>409</v>
      </c>
      <c r="I94" s="939" t="s">
        <v>690</v>
      </c>
      <c r="J94" s="1025" t="s">
        <v>1048</v>
      </c>
      <c r="K94" s="1025" t="s">
        <v>706</v>
      </c>
      <c r="L94" s="1025" t="s">
        <v>707</v>
      </c>
      <c r="M94" s="1025" t="s">
        <v>708</v>
      </c>
      <c r="N94" s="1025" t="s">
        <v>709</v>
      </c>
      <c r="O94" s="1025" t="s">
        <v>710</v>
      </c>
      <c r="P94" s="1025" t="s">
        <v>1054</v>
      </c>
      <c r="Q94" s="1027" t="s">
        <v>418</v>
      </c>
      <c r="R94" s="439" t="s">
        <v>492</v>
      </c>
      <c r="S94" s="322" t="s">
        <v>448</v>
      </c>
      <c r="T94" s="1030" t="s">
        <v>1053</v>
      </c>
      <c r="U94" s="819" t="s">
        <v>712</v>
      </c>
      <c r="V94" s="819" t="s">
        <v>713</v>
      </c>
      <c r="W94" s="1101" t="s">
        <v>714</v>
      </c>
      <c r="X94" s="819" t="s">
        <v>484</v>
      </c>
      <c r="Y94" s="175" t="s">
        <v>425</v>
      </c>
      <c r="Z94" s="545" t="s">
        <v>520</v>
      </c>
      <c r="AA94" s="819" t="s">
        <v>650</v>
      </c>
      <c r="AB94" s="819" t="s">
        <v>428</v>
      </c>
      <c r="AC94" s="1026" t="s">
        <v>429</v>
      </c>
      <c r="AD94" s="819" t="s">
        <v>715</v>
      </c>
      <c r="AE94" s="819" t="s">
        <v>431</v>
      </c>
      <c r="AF94" s="154" t="s">
        <v>432</v>
      </c>
      <c r="AG94" s="615" t="s">
        <v>639</v>
      </c>
      <c r="AH94" s="1031" t="s">
        <v>434</v>
      </c>
      <c r="AI94" s="1026" t="s">
        <v>346</v>
      </c>
      <c r="AJ94" s="1032" t="s">
        <v>435</v>
      </c>
      <c r="AK94" s="1111" t="s">
        <v>0</v>
      </c>
      <c r="AL94" s="1162" t="s">
        <v>27</v>
      </c>
      <c r="AM94" s="819" t="s">
        <v>402</v>
      </c>
      <c r="AN94" s="820" t="s">
        <v>343</v>
      </c>
      <c r="AO94" s="570" t="s">
        <v>436</v>
      </c>
      <c r="AP94" s="446"/>
      <c r="AQ94" s="1091" t="s">
        <v>275</v>
      </c>
      <c r="AR94" s="418" t="s">
        <v>438</v>
      </c>
      <c r="AS94" s="418" t="s">
        <v>531</v>
      </c>
      <c r="AT94" s="361" t="s">
        <v>440</v>
      </c>
      <c r="AU94" s="861" t="s">
        <v>403</v>
      </c>
      <c r="AV94" s="861" t="s">
        <v>746</v>
      </c>
      <c r="AW94" s="78"/>
      <c r="AX94" s="78"/>
      <c r="BE94" s="978" t="s">
        <v>779</v>
      </c>
    </row>
    <row r="95" spans="1:57" ht="15" customHeight="1">
      <c r="A95" s="813">
        <f>A87+1</f>
        <v>27</v>
      </c>
      <c r="B95" s="771">
        <f>B84+1</f>
        <v>3</v>
      </c>
      <c r="C95" s="271" t="s">
        <v>180</v>
      </c>
      <c r="D95" s="1220">
        <v>232</v>
      </c>
      <c r="E95" s="629">
        <f>(2*D95)</f>
        <v>464</v>
      </c>
      <c r="F95" s="877">
        <f>(2*225)</f>
        <v>450</v>
      </c>
      <c r="G95" s="629">
        <f>F95*1.15</f>
        <v>517.5</v>
      </c>
      <c r="H95" s="612">
        <f>(E95*0.23)</f>
        <v>106.72</v>
      </c>
      <c r="I95" s="618">
        <f>0.5*(H95*1.1)</f>
        <v>58.696000000000005</v>
      </c>
      <c r="J95" s="629" t="s">
        <v>50</v>
      </c>
      <c r="K95" s="629">
        <v>170</v>
      </c>
      <c r="L95" s="629">
        <v>30</v>
      </c>
      <c r="M95" s="629">
        <v>160</v>
      </c>
      <c r="N95" s="629">
        <v>15</v>
      </c>
      <c r="O95" s="629" t="s">
        <v>50</v>
      </c>
      <c r="P95" s="629" t="s">
        <v>50</v>
      </c>
      <c r="Q95" s="629">
        <f>SUM(J95:P95)</f>
        <v>375</v>
      </c>
      <c r="R95" s="438">
        <f>2*Q95</f>
        <v>750</v>
      </c>
      <c r="S95" s="659">
        <f>R95+(2*71)</f>
        <v>892</v>
      </c>
      <c r="T95" s="644">
        <v>35.65</v>
      </c>
      <c r="U95" s="608">
        <v>13</v>
      </c>
      <c r="V95" s="944">
        <v>0</v>
      </c>
      <c r="W95" s="945" t="s">
        <v>50</v>
      </c>
      <c r="X95" s="612">
        <f>SUM(T95:W95)</f>
        <v>48.65</v>
      </c>
      <c r="Y95" s="620">
        <f>2*X95</f>
        <v>97.3</v>
      </c>
      <c r="Z95" s="621">
        <f>(Y95+(23))</f>
        <v>120.3</v>
      </c>
      <c r="AA95" s="611">
        <f>Z95-H95</f>
        <v>13.579999999999998</v>
      </c>
      <c r="AB95" s="618">
        <f>(Z95)-(I95)</f>
        <v>61.603999999999992</v>
      </c>
      <c r="AC95" s="946">
        <v>0</v>
      </c>
      <c r="AD95" s="608">
        <v>0</v>
      </c>
      <c r="AE95" s="612">
        <f>X95-V95+AD95</f>
        <v>48.65</v>
      </c>
      <c r="AF95" s="251">
        <f>2*AE95</f>
        <v>97.3</v>
      </c>
      <c r="AG95" s="305">
        <f>AF95+(23)</f>
        <v>120.3</v>
      </c>
      <c r="AH95" s="626">
        <f>AG95-I95</f>
        <v>61.603999999999992</v>
      </c>
      <c r="AI95" s="890" t="s">
        <v>375</v>
      </c>
      <c r="AJ95" s="1060">
        <v>306</v>
      </c>
      <c r="AK95" s="1060">
        <f>(2*AJ95)+(2*71)+(2*45)</f>
        <v>844</v>
      </c>
      <c r="AL95" s="1060">
        <f>S95-AK95</f>
        <v>48</v>
      </c>
      <c r="AM95" s="666" t="s">
        <v>113</v>
      </c>
      <c r="AN95" s="235">
        <f>652+(23)</f>
        <v>675</v>
      </c>
      <c r="AO95" s="236">
        <f>Z95-AN95</f>
        <v>-554.70000000000005</v>
      </c>
      <c r="AP95" s="453"/>
      <c r="AQ95" s="271" t="s">
        <v>240</v>
      </c>
      <c r="AR95" s="632">
        <f>H95</f>
        <v>106.72</v>
      </c>
      <c r="AS95" s="632">
        <f>Z95</f>
        <v>120.3</v>
      </c>
      <c r="AT95" s="632">
        <f t="shared" ref="AT95" si="84">AN95</f>
        <v>675</v>
      </c>
      <c r="AU95" s="292">
        <f>S95-G95</f>
        <v>374.5</v>
      </c>
      <c r="AV95" s="292">
        <f t="shared" ref="AV95" si="85">AL95</f>
        <v>48</v>
      </c>
      <c r="BE95" s="957">
        <f>B95</f>
        <v>3</v>
      </c>
    </row>
    <row r="96" spans="1:57" s="147" customFormat="1">
      <c r="A96" s="814">
        <f>A95+1</f>
        <v>28</v>
      </c>
      <c r="B96" s="771">
        <f>B95+1</f>
        <v>4</v>
      </c>
      <c r="C96" s="279" t="s">
        <v>181</v>
      </c>
      <c r="D96" s="1220">
        <v>337</v>
      </c>
      <c r="E96" s="629">
        <f>(2*D96)</f>
        <v>674</v>
      </c>
      <c r="F96" s="629">
        <f>(2*292)</f>
        <v>584</v>
      </c>
      <c r="G96" s="629">
        <f>F96*1.15</f>
        <v>671.59999999999991</v>
      </c>
      <c r="H96" s="612">
        <f t="shared" ref="H96:H97" si="86">(E96*0.23)</f>
        <v>155.02000000000001</v>
      </c>
      <c r="I96" s="618">
        <f>0.5*(H96*1.1)</f>
        <v>85.26100000000001</v>
      </c>
      <c r="J96" s="629" t="s">
        <v>50</v>
      </c>
      <c r="K96" s="629">
        <v>170</v>
      </c>
      <c r="L96" s="629">
        <v>30</v>
      </c>
      <c r="M96" s="629">
        <v>160</v>
      </c>
      <c r="N96" s="629">
        <v>15</v>
      </c>
      <c r="O96" s="629">
        <f>183-147</f>
        <v>36</v>
      </c>
      <c r="P96" s="629" t="s">
        <v>50</v>
      </c>
      <c r="Q96" s="629">
        <f>SUM(J96:P96)</f>
        <v>411</v>
      </c>
      <c r="R96" s="438">
        <f>2*Q96</f>
        <v>822</v>
      </c>
      <c r="S96" s="659">
        <f>R96+(2*71)</f>
        <v>964</v>
      </c>
      <c r="T96" s="644">
        <v>35.65</v>
      </c>
      <c r="U96" s="608">
        <v>13</v>
      </c>
      <c r="V96" s="608">
        <v>54</v>
      </c>
      <c r="W96" s="945" t="s">
        <v>50</v>
      </c>
      <c r="X96" s="612">
        <f>SUM(T96:W96)</f>
        <v>102.65</v>
      </c>
      <c r="Y96" s="620">
        <f>2*X96</f>
        <v>205.3</v>
      </c>
      <c r="Z96" s="621">
        <f>(Y96+(23))</f>
        <v>228.3</v>
      </c>
      <c r="AA96" s="612">
        <f>Z96-H96</f>
        <v>73.28</v>
      </c>
      <c r="AB96" s="618">
        <f>(Z96)-(I96)</f>
        <v>143.03899999999999</v>
      </c>
      <c r="AC96" s="946">
        <v>80</v>
      </c>
      <c r="AD96" s="608">
        <f>(33.89)+(AC96*0.2095)</f>
        <v>50.65</v>
      </c>
      <c r="AE96" s="612">
        <f>X96-V96+AD96</f>
        <v>99.300000000000011</v>
      </c>
      <c r="AF96" s="251">
        <f>2*AE96</f>
        <v>198.60000000000002</v>
      </c>
      <c r="AG96" s="305">
        <f>AF96+(23)</f>
        <v>221.60000000000002</v>
      </c>
      <c r="AH96" s="626">
        <f>AG96-I96</f>
        <v>136.339</v>
      </c>
      <c r="AI96" s="890" t="s">
        <v>377</v>
      </c>
      <c r="AJ96" s="875">
        <v>195</v>
      </c>
      <c r="AK96" s="1060">
        <f>(2*AJ96)+(2*71)+(2*45)</f>
        <v>622</v>
      </c>
      <c r="AL96" s="875">
        <f>S96-AK96</f>
        <v>342</v>
      </c>
      <c r="AM96" s="612">
        <v>15</v>
      </c>
      <c r="AN96" s="235">
        <f>249+(23)+AM96</f>
        <v>287</v>
      </c>
      <c r="AO96" s="236">
        <f>Z96-AN96</f>
        <v>-58.699999999999989</v>
      </c>
      <c r="AP96" s="453"/>
      <c r="AQ96" s="279" t="s">
        <v>241</v>
      </c>
      <c r="AR96" s="632">
        <f>H96</f>
        <v>155.02000000000001</v>
      </c>
      <c r="AS96" s="632">
        <f>Z96</f>
        <v>228.3</v>
      </c>
      <c r="AT96" s="632">
        <f t="shared" ref="AT96:AT98" si="87">AN96</f>
        <v>287</v>
      </c>
      <c r="AU96" s="292">
        <f>S96-G96</f>
        <v>292.40000000000009</v>
      </c>
      <c r="AV96" s="292">
        <f t="shared" ref="AV96:AV98" si="88">AL96</f>
        <v>342</v>
      </c>
      <c r="BE96" s="957">
        <f t="shared" ref="BE96:BE97" si="89">B96</f>
        <v>4</v>
      </c>
    </row>
    <row r="97" spans="1:57" s="242" customFormat="1">
      <c r="A97" s="814">
        <f>A96+1</f>
        <v>29</v>
      </c>
      <c r="B97" s="771">
        <f>B96+1</f>
        <v>5</v>
      </c>
      <c r="C97" s="271" t="s">
        <v>182</v>
      </c>
      <c r="D97" s="630">
        <v>340</v>
      </c>
      <c r="E97" s="629">
        <f>(2*D97)</f>
        <v>680</v>
      </c>
      <c r="F97" s="877">
        <f>(2*310)</f>
        <v>620</v>
      </c>
      <c r="G97" s="629">
        <f>F97*1.15</f>
        <v>713</v>
      </c>
      <c r="H97" s="612">
        <f t="shared" si="86"/>
        <v>156.4</v>
      </c>
      <c r="I97" s="618">
        <f>0.5*(H97*1.1)</f>
        <v>86.02000000000001</v>
      </c>
      <c r="J97" s="629" t="s">
        <v>50</v>
      </c>
      <c r="K97" s="629">
        <v>170</v>
      </c>
      <c r="L97" s="629">
        <v>30</v>
      </c>
      <c r="M97" s="629">
        <v>160</v>
      </c>
      <c r="N97" s="629">
        <v>15</v>
      </c>
      <c r="O97" s="629">
        <f>183-125</f>
        <v>58</v>
      </c>
      <c r="P97" s="629" t="s">
        <v>50</v>
      </c>
      <c r="Q97" s="629">
        <f>SUM(J97:P97)</f>
        <v>433</v>
      </c>
      <c r="R97" s="438">
        <f>2*Q97</f>
        <v>866</v>
      </c>
      <c r="S97" s="745">
        <f>R97+(2*71)</f>
        <v>1008</v>
      </c>
      <c r="T97" s="644">
        <v>35.65</v>
      </c>
      <c r="U97" s="608">
        <v>13</v>
      </c>
      <c r="V97" s="608">
        <v>59</v>
      </c>
      <c r="W97" s="945" t="s">
        <v>50</v>
      </c>
      <c r="X97" s="612">
        <f>SUM(T97:W97)</f>
        <v>107.65</v>
      </c>
      <c r="Y97" s="620">
        <f>2*X97</f>
        <v>215.3</v>
      </c>
      <c r="Z97" s="621">
        <f>(Y97+(23))</f>
        <v>238.3</v>
      </c>
      <c r="AA97" s="611">
        <f>Z97-H97</f>
        <v>81.900000000000006</v>
      </c>
      <c r="AB97" s="618">
        <f>(Z97)-(I97)</f>
        <v>152.28</v>
      </c>
      <c r="AC97" s="946">
        <v>138</v>
      </c>
      <c r="AD97" s="608">
        <f t="shared" ref="AD97" si="90">(33.89)+(AC97*0.2095)</f>
        <v>62.801000000000002</v>
      </c>
      <c r="AE97" s="612">
        <f>X97-V97+AD97</f>
        <v>111.45100000000001</v>
      </c>
      <c r="AF97" s="251">
        <f>2*AE97</f>
        <v>222.90200000000002</v>
      </c>
      <c r="AG97" s="305">
        <f>AF97+(23)</f>
        <v>245.90200000000002</v>
      </c>
      <c r="AH97" s="626">
        <f>AG97-I97</f>
        <v>159.88200000000001</v>
      </c>
      <c r="AI97" s="890" t="s">
        <v>377</v>
      </c>
      <c r="AJ97" s="1060">
        <v>195</v>
      </c>
      <c r="AK97" s="1060">
        <f>(2*AJ97)+(2*71)+(2*45)</f>
        <v>622</v>
      </c>
      <c r="AL97" s="1060">
        <f>S97-AK97</f>
        <v>386</v>
      </c>
      <c r="AM97" s="666" t="s">
        <v>113</v>
      </c>
      <c r="AN97" s="235">
        <f>249+(23)</f>
        <v>272</v>
      </c>
      <c r="AO97" s="236">
        <f>Z97-AN97</f>
        <v>-33.699999999999989</v>
      </c>
      <c r="AP97" s="453"/>
      <c r="AQ97" s="310" t="s">
        <v>242</v>
      </c>
      <c r="AR97" s="632">
        <f>H97</f>
        <v>156.4</v>
      </c>
      <c r="AS97" s="632">
        <f>Z97</f>
        <v>238.3</v>
      </c>
      <c r="AT97" s="632">
        <f t="shared" si="87"/>
        <v>272</v>
      </c>
      <c r="AU97" s="292">
        <f>S97-G97</f>
        <v>295</v>
      </c>
      <c r="AV97" s="292">
        <f t="shared" si="88"/>
        <v>386</v>
      </c>
      <c r="BE97" s="957">
        <f t="shared" si="89"/>
        <v>5</v>
      </c>
    </row>
    <row r="98" spans="1:57" s="242" customFormat="1">
      <c r="A98" s="814">
        <f>A97+1</f>
        <v>30</v>
      </c>
      <c r="B98" s="780">
        <f>B87+1</f>
        <v>25</v>
      </c>
      <c r="C98" s="314" t="s">
        <v>1051</v>
      </c>
      <c r="D98" s="946">
        <v>504</v>
      </c>
      <c r="E98" s="875">
        <f>2*D98</f>
        <v>1008</v>
      </c>
      <c r="F98" s="875">
        <f>(2*462)</f>
        <v>924</v>
      </c>
      <c r="G98" s="875">
        <f>F98*1.15</f>
        <v>1062.5999999999999</v>
      </c>
      <c r="H98" s="236">
        <f>(E98*0.23)</f>
        <v>231.84</v>
      </c>
      <c r="I98" s="235">
        <f>0.5*(H98*1.1)</f>
        <v>127.51200000000001</v>
      </c>
      <c r="J98" s="629" t="s">
        <v>50</v>
      </c>
      <c r="K98" s="629">
        <v>170</v>
      </c>
      <c r="L98" s="629">
        <v>30</v>
      </c>
      <c r="M98" s="629">
        <v>160</v>
      </c>
      <c r="N98" s="629">
        <v>15</v>
      </c>
      <c r="O98" s="629">
        <f>183-102</f>
        <v>81</v>
      </c>
      <c r="P98" s="629">
        <f>240+15</f>
        <v>255</v>
      </c>
      <c r="Q98" s="629">
        <f>SUM(J98:P98)</f>
        <v>711</v>
      </c>
      <c r="R98" s="438">
        <f>2*Q98</f>
        <v>1422</v>
      </c>
      <c r="S98" s="746">
        <f>R98+(2*71)</f>
        <v>1564</v>
      </c>
      <c r="T98" s="644">
        <v>35.65</v>
      </c>
      <c r="U98" s="608">
        <v>13</v>
      </c>
      <c r="V98" s="608">
        <v>64</v>
      </c>
      <c r="W98" s="608">
        <v>10</v>
      </c>
      <c r="X98" s="612">
        <f>SUM(T98:W98)</f>
        <v>122.65</v>
      </c>
      <c r="Y98" s="620">
        <f>2*X98</f>
        <v>245.3</v>
      </c>
      <c r="Z98" s="622">
        <f>(Y98)+(23)</f>
        <v>268.3</v>
      </c>
      <c r="AA98" s="611">
        <f>Z98-H98</f>
        <v>36.460000000000008</v>
      </c>
      <c r="AB98" s="618">
        <f>Z98-I98</f>
        <v>140.78800000000001</v>
      </c>
      <c r="AC98" s="946">
        <v>138</v>
      </c>
      <c r="AD98" s="612">
        <f>(33.89)+(AC98*0.2095)</f>
        <v>62.801000000000002</v>
      </c>
      <c r="AE98" s="612">
        <f>X98-U98+AD98</f>
        <v>172.45100000000002</v>
      </c>
      <c r="AF98" s="623">
        <f>2*AE98</f>
        <v>344.90200000000004</v>
      </c>
      <c r="AG98" s="628">
        <f>(AF98)+(23)</f>
        <v>367.90200000000004</v>
      </c>
      <c r="AH98" s="626">
        <f>AG98-I98</f>
        <v>240.39000000000004</v>
      </c>
      <c r="AI98" s="890" t="s">
        <v>376</v>
      </c>
      <c r="AJ98" s="629">
        <v>103</v>
      </c>
      <c r="AK98" s="1150">
        <f>(2*AJ98)+(2*71)+(2*45)</f>
        <v>438</v>
      </c>
      <c r="AL98" s="875">
        <f>S98-AK98</f>
        <v>1126</v>
      </c>
      <c r="AM98" s="666" t="s">
        <v>113</v>
      </c>
      <c r="AN98" s="235">
        <f>196+(23)</f>
        <v>219</v>
      </c>
      <c r="AO98" s="236">
        <f>Z98-AN98</f>
        <v>49.300000000000011</v>
      </c>
      <c r="AP98" s="458"/>
      <c r="AQ98" s="314" t="s">
        <v>1052</v>
      </c>
      <c r="AR98" s="632">
        <f>H98</f>
        <v>231.84</v>
      </c>
      <c r="AS98" s="632">
        <f>Z98</f>
        <v>268.3</v>
      </c>
      <c r="AT98" s="632">
        <f t="shared" si="87"/>
        <v>219</v>
      </c>
      <c r="AU98" s="292">
        <f>S98-G98</f>
        <v>501.40000000000009</v>
      </c>
      <c r="AV98" s="292">
        <f t="shared" si="88"/>
        <v>1126</v>
      </c>
      <c r="BE98" s="990">
        <f>B98</f>
        <v>25</v>
      </c>
    </row>
    <row r="99" spans="1:57" s="147" customFormat="1" ht="304" customHeight="1">
      <c r="A99" s="803"/>
      <c r="B99" s="423"/>
      <c r="C99" s="424"/>
      <c r="D99" s="1521" t="s">
        <v>1046</v>
      </c>
      <c r="E99" s="1522"/>
      <c r="F99" s="894" t="s">
        <v>1022</v>
      </c>
      <c r="G99" s="1185" t="s">
        <v>1023</v>
      </c>
      <c r="H99" s="1189" t="s">
        <v>1024</v>
      </c>
      <c r="I99" s="646"/>
      <c r="J99" s="942"/>
      <c r="K99" s="1221" t="s">
        <v>1049</v>
      </c>
      <c r="L99" s="879" t="s">
        <v>1050</v>
      </c>
      <c r="M99" s="1202" t="s">
        <v>189</v>
      </c>
      <c r="N99" s="1202" t="s">
        <v>171</v>
      </c>
      <c r="O99" s="1222" t="s">
        <v>718</v>
      </c>
      <c r="P99" s="1064" t="s">
        <v>1055</v>
      </c>
      <c r="Q99" s="943"/>
      <c r="R99" s="426"/>
      <c r="S99" s="334" t="s">
        <v>1169</v>
      </c>
      <c r="T99" s="1063" t="s">
        <v>1056</v>
      </c>
      <c r="U99" s="1063" t="s">
        <v>1015</v>
      </c>
      <c r="V99" s="1063" t="s">
        <v>130</v>
      </c>
      <c r="W99" s="1186" t="s">
        <v>1057</v>
      </c>
      <c r="X99" s="427"/>
      <c r="Y99" s="428"/>
      <c r="Z99" s="1230" t="s">
        <v>1148</v>
      </c>
      <c r="AA99" s="429"/>
      <c r="AB99" s="430"/>
      <c r="AC99" s="1072" t="s">
        <v>1058</v>
      </c>
      <c r="AD99" s="1222" t="s">
        <v>1059</v>
      </c>
      <c r="AE99" s="431"/>
      <c r="AF99" s="432"/>
      <c r="AG99" s="1230" t="s">
        <v>1148</v>
      </c>
      <c r="AH99" s="955"/>
      <c r="AI99" s="432"/>
      <c r="AJ99" s="1078" t="s">
        <v>1153</v>
      </c>
      <c r="AK99" s="433"/>
      <c r="AL99" s="1205" t="s">
        <v>1033</v>
      </c>
      <c r="AM99" s="434"/>
      <c r="AN99" s="444" t="s">
        <v>49</v>
      </c>
      <c r="AO99" s="435"/>
      <c r="AP99" s="460"/>
      <c r="AQ99" s="1217" t="s">
        <v>772</v>
      </c>
      <c r="AR99" s="308"/>
      <c r="AS99" s="309"/>
    </row>
    <row r="100" spans="1:57" s="425" customFormat="1" ht="15" customHeight="1">
      <c r="B100" s="124"/>
      <c r="C100" s="71"/>
      <c r="D100" s="71"/>
      <c r="E100" s="46"/>
      <c r="F100" s="47"/>
      <c r="G100" s="328"/>
      <c r="H100" s="48"/>
      <c r="I100" s="57"/>
      <c r="J100" s="57"/>
      <c r="K100" s="57"/>
      <c r="L100" s="57"/>
      <c r="M100" s="57"/>
      <c r="N100" s="57"/>
      <c r="O100" s="57"/>
      <c r="P100" s="57"/>
      <c r="Q100" s="57"/>
      <c r="R100" s="41"/>
      <c r="S100" s="40"/>
      <c r="T100" s="40"/>
      <c r="U100" s="40"/>
      <c r="V100" s="40"/>
      <c r="W100" s="40"/>
      <c r="X100" s="40"/>
      <c r="Y100" s="67"/>
      <c r="Z100" s="36"/>
      <c r="AA100" s="58"/>
      <c r="AB100" s="79"/>
      <c r="AC100" s="51"/>
      <c r="AD100" s="51"/>
      <c r="AE100" s="51"/>
      <c r="AF100" s="58"/>
      <c r="AG100" s="36"/>
      <c r="AH100" s="58"/>
      <c r="AI100" s="143"/>
      <c r="AJ100" s="59"/>
      <c r="AK100" s="60"/>
      <c r="AL100" s="108"/>
      <c r="AM100" s="108"/>
      <c r="AN100" s="61"/>
      <c r="AO100" s="61"/>
      <c r="AP100" s="446"/>
      <c r="AQ100" s="436"/>
      <c r="AR100" s="436"/>
      <c r="AV100" s="1280" t="s">
        <v>82</v>
      </c>
    </row>
    <row r="101" spans="1:57">
      <c r="C101" s="71"/>
      <c r="D101" s="71"/>
      <c r="E101" s="46"/>
      <c r="F101" s="47"/>
      <c r="G101" s="328"/>
      <c r="H101" s="136"/>
      <c r="I101" s="142"/>
      <c r="J101" s="142"/>
      <c r="K101" s="142"/>
      <c r="L101" s="142"/>
      <c r="M101" s="142"/>
      <c r="N101" s="142"/>
      <c r="O101" s="142"/>
      <c r="P101" s="142"/>
      <c r="Q101" s="142"/>
      <c r="R101" s="115"/>
      <c r="S101" s="40"/>
      <c r="T101" s="40"/>
      <c r="U101" s="40"/>
      <c r="V101" s="40"/>
      <c r="W101" s="40"/>
      <c r="X101" s="40"/>
      <c r="Y101" s="116"/>
      <c r="Z101" s="28"/>
      <c r="AA101" s="143"/>
      <c r="AB101" s="79"/>
      <c r="AC101" s="190"/>
      <c r="AD101" s="190"/>
      <c r="AE101" s="190"/>
      <c r="AF101" s="191"/>
      <c r="AG101" s="28"/>
      <c r="AH101" s="143"/>
      <c r="AI101" s="143"/>
      <c r="AJ101" s="60"/>
      <c r="AK101" s="60"/>
      <c r="AL101" s="192"/>
      <c r="AM101" s="192"/>
      <c r="AN101" s="61"/>
      <c r="AO101" s="61"/>
      <c r="AP101" s="446"/>
    </row>
    <row r="102" spans="1:57">
      <c r="B102" s="337" t="s">
        <v>88</v>
      </c>
      <c r="C102" s="1568" t="s">
        <v>641</v>
      </c>
      <c r="D102" s="1568"/>
      <c r="E102" s="1568"/>
      <c r="F102" s="1568"/>
      <c r="G102" s="1568"/>
      <c r="H102" s="1568"/>
      <c r="I102" s="1568"/>
      <c r="J102" s="1568"/>
      <c r="K102" s="1568"/>
      <c r="L102" s="1568"/>
      <c r="M102" s="1568"/>
      <c r="N102" s="1568"/>
      <c r="O102" s="1568"/>
      <c r="P102" s="1568"/>
      <c r="Q102" s="1568"/>
      <c r="R102" s="1568"/>
      <c r="S102" s="1568"/>
      <c r="T102" s="1407"/>
      <c r="U102" s="1407"/>
      <c r="V102" s="1407"/>
      <c r="W102" s="1407"/>
      <c r="X102" s="1407"/>
      <c r="Y102" s="1407"/>
      <c r="Z102" s="1407"/>
      <c r="AA102" s="1407"/>
      <c r="AB102" s="1407"/>
      <c r="AC102" s="1407"/>
      <c r="AD102" s="1407"/>
      <c r="AE102" s="1407"/>
      <c r="AF102" s="1407"/>
      <c r="AG102" s="1407"/>
      <c r="AH102" s="1407"/>
      <c r="AI102" s="924"/>
      <c r="AJ102" s="63"/>
      <c r="AK102" s="52"/>
      <c r="AL102" s="107"/>
      <c r="AM102" s="107"/>
      <c r="AN102" s="56"/>
      <c r="AO102" s="56"/>
      <c r="AP102" s="446"/>
      <c r="AQ102" s="183"/>
      <c r="AR102" s="183"/>
      <c r="AS102" s="12"/>
      <c r="AT102" s="12"/>
      <c r="AU102" s="12"/>
      <c r="AV102" s="12"/>
      <c r="AW102" s="12"/>
      <c r="AX102" s="12"/>
    </row>
    <row r="103" spans="1:57" ht="33">
      <c r="C103" s="503" t="s">
        <v>116</v>
      </c>
      <c r="D103" s="1578" t="s">
        <v>28</v>
      </c>
      <c r="E103" s="1578"/>
      <c r="F103" s="1578"/>
      <c r="G103" s="1578"/>
      <c r="H103" s="1578"/>
      <c r="I103" s="1579"/>
      <c r="J103" s="1571" t="s">
        <v>104</v>
      </c>
      <c r="K103" s="1529"/>
      <c r="L103" s="1529"/>
      <c r="M103" s="1529"/>
      <c r="N103" s="1529"/>
      <c r="O103" s="1529"/>
      <c r="P103" s="1529"/>
      <c r="Q103" s="1529"/>
      <c r="R103" s="1580" t="s">
        <v>22</v>
      </c>
      <c r="S103" s="1580"/>
      <c r="T103" s="1516" t="s">
        <v>136</v>
      </c>
      <c r="U103" s="1517"/>
      <c r="V103" s="1517"/>
      <c r="W103" s="1517"/>
      <c r="X103" s="1517"/>
      <c r="Y103" s="1514" t="s">
        <v>126</v>
      </c>
      <c r="Z103" s="1515"/>
      <c r="AA103" s="195"/>
      <c r="AB103" s="196"/>
      <c r="AC103" s="1549" t="s">
        <v>101</v>
      </c>
      <c r="AD103" s="1550"/>
      <c r="AE103" s="1550"/>
      <c r="AF103" s="1551" t="s">
        <v>23</v>
      </c>
      <c r="AG103" s="1552"/>
      <c r="AH103" s="915"/>
      <c r="AI103" s="835"/>
      <c r="AJ103" s="1507" t="s">
        <v>25</v>
      </c>
      <c r="AK103" s="1508"/>
      <c r="AL103" s="1508"/>
      <c r="AM103" s="1508"/>
      <c r="AN103" s="1509"/>
      <c r="AO103" s="204"/>
      <c r="AP103" s="446"/>
      <c r="AV103" s="1278" t="s">
        <v>82</v>
      </c>
    </row>
    <row r="104" spans="1:57">
      <c r="C104" s="507"/>
      <c r="D104" s="197">
        <v>1</v>
      </c>
      <c r="E104" s="200">
        <f>D104+1</f>
        <v>2</v>
      </c>
      <c r="F104" s="200">
        <f t="shared" ref="F104" si="91">E104+1</f>
        <v>3</v>
      </c>
      <c r="G104" s="200">
        <f t="shared" ref="G104" si="92">F104+1</f>
        <v>4</v>
      </c>
      <c r="H104" s="200">
        <f t="shared" ref="H104" si="93">G104+1</f>
        <v>5</v>
      </c>
      <c r="I104" s="199">
        <f t="shared" ref="I104" si="94">H104+1</f>
        <v>6</v>
      </c>
      <c r="J104" s="197">
        <f t="shared" ref="J104" si="95">I104+1</f>
        <v>7</v>
      </c>
      <c r="K104" s="200">
        <f t="shared" ref="K104" si="96">J104+1</f>
        <v>8</v>
      </c>
      <c r="L104" s="200">
        <f t="shared" ref="L104" si="97">K104+1</f>
        <v>9</v>
      </c>
      <c r="M104" s="200">
        <f t="shared" ref="M104" si="98">L104+1</f>
        <v>10</v>
      </c>
      <c r="N104" s="200">
        <f t="shared" ref="N104" si="99">M104+1</f>
        <v>11</v>
      </c>
      <c r="O104" s="200">
        <f t="shared" ref="O104" si="100">N104+1</f>
        <v>12</v>
      </c>
      <c r="P104" s="200">
        <f t="shared" ref="P104" si="101">O104+1</f>
        <v>13</v>
      </c>
      <c r="Q104" s="199">
        <f t="shared" ref="Q104" si="102">P104+1</f>
        <v>14</v>
      </c>
      <c r="R104" s="197">
        <f t="shared" ref="R104" si="103">Q104+1</f>
        <v>15</v>
      </c>
      <c r="S104" s="199">
        <v>16</v>
      </c>
      <c r="T104" s="197">
        <v>17</v>
      </c>
      <c r="U104" s="200">
        <v>18</v>
      </c>
      <c r="V104" s="200">
        <f>U104+1</f>
        <v>19</v>
      </c>
      <c r="W104" s="200">
        <f>V104+1</f>
        <v>20</v>
      </c>
      <c r="X104" s="200">
        <f>W104+1</f>
        <v>21</v>
      </c>
      <c r="Y104" s="197">
        <f>X104+1</f>
        <v>22</v>
      </c>
      <c r="Z104" s="199">
        <f>Y104+1</f>
        <v>23</v>
      </c>
      <c r="AA104" s="197">
        <f t="shared" ref="AA104" si="104">Z104+1</f>
        <v>24</v>
      </c>
      <c r="AB104" s="199">
        <f t="shared" ref="AB104" si="105">AA104+1</f>
        <v>25</v>
      </c>
      <c r="AC104" s="197">
        <f t="shared" ref="AC104" si="106">AB104+1</f>
        <v>26</v>
      </c>
      <c r="AD104" s="200">
        <f t="shared" ref="AD104" si="107">AC104+1</f>
        <v>27</v>
      </c>
      <c r="AE104" s="200">
        <f t="shared" ref="AE104" si="108">AD104+1</f>
        <v>28</v>
      </c>
      <c r="AF104" s="200">
        <f t="shared" ref="AF104" si="109">AE104+1</f>
        <v>29</v>
      </c>
      <c r="AG104" s="199">
        <f t="shared" ref="AG104" si="110">AF104+1</f>
        <v>30</v>
      </c>
      <c r="AH104" s="197">
        <f t="shared" ref="AH104" si="111">AG104+1</f>
        <v>31</v>
      </c>
      <c r="AI104" s="86">
        <f>AH104+1</f>
        <v>32</v>
      </c>
      <c r="AJ104" s="38">
        <f>AI104+1</f>
        <v>33</v>
      </c>
      <c r="AK104" s="200">
        <f t="shared" ref="AK104" si="112">AJ104+1</f>
        <v>34</v>
      </c>
      <c r="AL104" s="200">
        <f t="shared" ref="AL104" si="113">AK104+1</f>
        <v>35</v>
      </c>
      <c r="AM104" s="38">
        <f>AL104+1</f>
        <v>36</v>
      </c>
      <c r="AN104" s="359">
        <f>AM104+1</f>
        <v>37</v>
      </c>
      <c r="AO104" s="197">
        <f t="shared" ref="AO104" si="114">AN104+1</f>
        <v>38</v>
      </c>
      <c r="AP104" s="459"/>
    </row>
    <row r="105" spans="1:57" ht="130" customHeight="1">
      <c r="A105" s="804"/>
      <c r="C105" s="1068" t="s">
        <v>1044</v>
      </c>
      <c r="D105" s="1219" t="s">
        <v>1047</v>
      </c>
      <c r="E105" s="1027" t="s">
        <v>704</v>
      </c>
      <c r="F105" s="1027" t="s">
        <v>407</v>
      </c>
      <c r="G105" s="1027" t="s">
        <v>408</v>
      </c>
      <c r="H105" s="418" t="s">
        <v>409</v>
      </c>
      <c r="I105" s="939" t="s">
        <v>690</v>
      </c>
      <c r="J105" s="1025" t="s">
        <v>1048</v>
      </c>
      <c r="K105" s="1025" t="s">
        <v>706</v>
      </c>
      <c r="L105" s="1025" t="s">
        <v>707</v>
      </c>
      <c r="M105" s="1025" t="s">
        <v>708</v>
      </c>
      <c r="N105" s="1025" t="s">
        <v>709</v>
      </c>
      <c r="O105" s="1025" t="s">
        <v>710</v>
      </c>
      <c r="P105" s="1025" t="s">
        <v>711</v>
      </c>
      <c r="Q105" s="1027" t="s">
        <v>418</v>
      </c>
      <c r="R105" s="439" t="s">
        <v>492</v>
      </c>
      <c r="S105" s="322" t="s">
        <v>448</v>
      </c>
      <c r="T105" s="1030" t="s">
        <v>1053</v>
      </c>
      <c r="U105" s="819" t="s">
        <v>712</v>
      </c>
      <c r="V105" s="1025" t="s">
        <v>713</v>
      </c>
      <c r="W105" s="1027" t="s">
        <v>714</v>
      </c>
      <c r="X105" s="1025" t="s">
        <v>484</v>
      </c>
      <c r="Y105" s="175" t="s">
        <v>425</v>
      </c>
      <c r="Z105" s="545" t="s">
        <v>520</v>
      </c>
      <c r="AA105" s="819" t="s">
        <v>650</v>
      </c>
      <c r="AB105" s="819" t="s">
        <v>428</v>
      </c>
      <c r="AC105" s="1026" t="s">
        <v>429</v>
      </c>
      <c r="AD105" s="819" t="s">
        <v>715</v>
      </c>
      <c r="AE105" s="819" t="s">
        <v>431</v>
      </c>
      <c r="AF105" s="154" t="s">
        <v>432</v>
      </c>
      <c r="AG105" s="615" t="s">
        <v>639</v>
      </c>
      <c r="AH105" s="1031" t="s">
        <v>434</v>
      </c>
      <c r="AI105" s="1087" t="s">
        <v>346</v>
      </c>
      <c r="AJ105" s="1055" t="s">
        <v>435</v>
      </c>
      <c r="AK105" s="1074" t="s">
        <v>0</v>
      </c>
      <c r="AL105" s="1204" t="s">
        <v>27</v>
      </c>
      <c r="AM105" s="819" t="s">
        <v>402</v>
      </c>
      <c r="AN105" s="820" t="s">
        <v>343</v>
      </c>
      <c r="AO105" s="570" t="s">
        <v>436</v>
      </c>
      <c r="AP105" s="446"/>
      <c r="AQ105" s="1068" t="s">
        <v>1044</v>
      </c>
      <c r="AR105" s="418" t="s">
        <v>438</v>
      </c>
      <c r="AS105" s="418" t="s">
        <v>531</v>
      </c>
      <c r="AT105" s="361" t="s">
        <v>440</v>
      </c>
      <c r="AU105" s="861" t="s">
        <v>403</v>
      </c>
      <c r="AV105" s="861" t="s">
        <v>746</v>
      </c>
      <c r="BE105" s="850" t="s">
        <v>779</v>
      </c>
    </row>
    <row r="106" spans="1:57">
      <c r="A106" s="800">
        <f>A98+1</f>
        <v>31</v>
      </c>
      <c r="B106" s="769">
        <f>B97+1</f>
        <v>6</v>
      </c>
      <c r="C106" s="941" t="s">
        <v>239</v>
      </c>
      <c r="D106" s="892">
        <v>364</v>
      </c>
      <c r="E106" s="947">
        <f>2*D106</f>
        <v>728</v>
      </c>
      <c r="F106" s="947">
        <f>2*306</f>
        <v>612</v>
      </c>
      <c r="G106" s="629">
        <f>F106*1.15</f>
        <v>703.8</v>
      </c>
      <c r="H106" s="612">
        <f t="shared" ref="H106:H108" si="115">(E106*0.23)</f>
        <v>167.44</v>
      </c>
      <c r="I106" s="618">
        <f>0.5*(H106*1.1)</f>
        <v>92.092000000000013</v>
      </c>
      <c r="J106" s="619" t="s">
        <v>50</v>
      </c>
      <c r="K106" s="948">
        <v>170</v>
      </c>
      <c r="L106" s="948">
        <v>30</v>
      </c>
      <c r="M106" s="948">
        <v>160</v>
      </c>
      <c r="N106" s="948">
        <v>15</v>
      </c>
      <c r="O106" s="948">
        <f>183-102</f>
        <v>81</v>
      </c>
      <c r="P106" s="619" t="s">
        <v>50</v>
      </c>
      <c r="Q106" s="619">
        <f>SUM(J106:P106)</f>
        <v>456</v>
      </c>
      <c r="R106" s="438">
        <f>2*Q106</f>
        <v>912</v>
      </c>
      <c r="S106" s="745">
        <f>R106+(2*71)</f>
        <v>1054</v>
      </c>
      <c r="T106" s="644">
        <v>35.65</v>
      </c>
      <c r="U106" s="949">
        <v>13</v>
      </c>
      <c r="V106" s="949">
        <v>64</v>
      </c>
      <c r="W106" s="945" t="s">
        <v>50</v>
      </c>
      <c r="X106" s="950">
        <f>SUM(T106:W106)</f>
        <v>112.65</v>
      </c>
      <c r="Y106" s="620">
        <f>2*X106</f>
        <v>225.3</v>
      </c>
      <c r="Z106" s="621">
        <f>(Y106+(23))</f>
        <v>248.3</v>
      </c>
      <c r="AA106" s="612">
        <f>Z106-H106</f>
        <v>80.860000000000014</v>
      </c>
      <c r="AB106" s="612">
        <f>(Z106)-(I106)</f>
        <v>156.208</v>
      </c>
      <c r="AC106" s="951">
        <v>125</v>
      </c>
      <c r="AD106" s="612">
        <f t="shared" ref="AD106:AD108" si="116">(33.89)+(AC106*0.2095)</f>
        <v>60.077500000000001</v>
      </c>
      <c r="AE106" s="618">
        <f>X106-V106+AD106</f>
        <v>108.72750000000001</v>
      </c>
      <c r="AF106" s="614">
        <f>2*AE106</f>
        <v>217.45500000000001</v>
      </c>
      <c r="AG106" s="305">
        <f>AF106+(23)</f>
        <v>240.45500000000001</v>
      </c>
      <c r="AH106" s="626">
        <f>AG106-I106</f>
        <v>148.363</v>
      </c>
      <c r="AI106" s="1076" t="s">
        <v>377</v>
      </c>
      <c r="AJ106" s="1075">
        <v>195</v>
      </c>
      <c r="AK106" s="1075">
        <f>(2*AJ106)+(2*71)+(2*45)</f>
        <v>622</v>
      </c>
      <c r="AL106" s="1075">
        <f>S106-AK106</f>
        <v>432</v>
      </c>
      <c r="AM106" s="611">
        <v>15</v>
      </c>
      <c r="AN106" s="235">
        <f>249+(23)+AM106</f>
        <v>287</v>
      </c>
      <c r="AO106" s="236">
        <f>Z106-AN106</f>
        <v>-38.699999999999989</v>
      </c>
      <c r="AQ106" s="941" t="s">
        <v>276</v>
      </c>
      <c r="AR106" s="632">
        <f>H106</f>
        <v>167.44</v>
      </c>
      <c r="AS106" s="632">
        <f>Z106</f>
        <v>248.3</v>
      </c>
      <c r="AT106" s="632">
        <f t="shared" ref="AT106:AT109" si="117">AN106</f>
        <v>287</v>
      </c>
      <c r="AU106" s="292">
        <f>S106-G106</f>
        <v>350.20000000000005</v>
      </c>
      <c r="AV106" s="292">
        <f t="shared" ref="AV106:AV109" si="118">AL106</f>
        <v>432</v>
      </c>
      <c r="BE106" s="957">
        <f>B106</f>
        <v>6</v>
      </c>
    </row>
    <row r="107" spans="1:57">
      <c r="A107" s="800">
        <f>A106+1</f>
        <v>32</v>
      </c>
      <c r="B107" s="769">
        <f>B106+1</f>
        <v>7</v>
      </c>
      <c r="C107" s="271" t="s">
        <v>183</v>
      </c>
      <c r="D107" s="892">
        <v>415</v>
      </c>
      <c r="E107" s="629">
        <f>(2*D107)</f>
        <v>830</v>
      </c>
      <c r="F107" s="877">
        <f>(2*362)</f>
        <v>724</v>
      </c>
      <c r="G107" s="629">
        <f>F107*1.15</f>
        <v>832.59999999999991</v>
      </c>
      <c r="H107" s="612">
        <f t="shared" si="115"/>
        <v>190.9</v>
      </c>
      <c r="I107" s="618">
        <f>0.5*(H107*1.1)</f>
        <v>104.995</v>
      </c>
      <c r="J107" s="619" t="s">
        <v>50</v>
      </c>
      <c r="K107" s="619">
        <v>170</v>
      </c>
      <c r="L107" s="619">
        <v>30</v>
      </c>
      <c r="M107" s="619">
        <v>160</v>
      </c>
      <c r="N107" s="619">
        <v>15</v>
      </c>
      <c r="O107" s="619">
        <f>183-102</f>
        <v>81</v>
      </c>
      <c r="P107" s="619">
        <f>240-200</f>
        <v>40</v>
      </c>
      <c r="Q107" s="619">
        <f>SUM(J107:P107)</f>
        <v>496</v>
      </c>
      <c r="R107" s="438">
        <f>2*Q107</f>
        <v>992</v>
      </c>
      <c r="S107" s="745">
        <f>R107+(2*71)</f>
        <v>1134</v>
      </c>
      <c r="T107" s="644">
        <v>35.65</v>
      </c>
      <c r="U107" s="949">
        <v>13</v>
      </c>
      <c r="V107" s="949">
        <v>64</v>
      </c>
      <c r="W107" s="949">
        <v>1</v>
      </c>
      <c r="X107" s="950">
        <f>SUM(T107:W107)</f>
        <v>113.65</v>
      </c>
      <c r="Y107" s="620">
        <f>2*X107</f>
        <v>227.3</v>
      </c>
      <c r="Z107" s="621">
        <f>(Y107+(23))</f>
        <v>250.3</v>
      </c>
      <c r="AA107" s="612">
        <f>Z107-H107</f>
        <v>59.400000000000006</v>
      </c>
      <c r="AB107" s="612">
        <f>(Z107)-(I107)</f>
        <v>145.30500000000001</v>
      </c>
      <c r="AC107" s="951">
        <v>138</v>
      </c>
      <c r="AD107" s="612">
        <f t="shared" si="116"/>
        <v>62.801000000000002</v>
      </c>
      <c r="AE107" s="618">
        <f>X107-V107+AD107</f>
        <v>112.45100000000001</v>
      </c>
      <c r="AF107" s="614">
        <f>2*AE107</f>
        <v>224.90200000000002</v>
      </c>
      <c r="AG107" s="305">
        <f>AF107+(23)</f>
        <v>247.90200000000002</v>
      </c>
      <c r="AH107" s="633">
        <f>AG107-I107</f>
        <v>142.90700000000001</v>
      </c>
      <c r="AI107" s="1076" t="s">
        <v>377</v>
      </c>
      <c r="AJ107" s="1075">
        <v>195</v>
      </c>
      <c r="AK107" s="1075">
        <f>(2*AJ107)+(2*71)+(2*45)</f>
        <v>622</v>
      </c>
      <c r="AL107" s="1075">
        <f>S107-AK107</f>
        <v>512</v>
      </c>
      <c r="AM107" s="611">
        <v>31</v>
      </c>
      <c r="AN107" s="235">
        <f>249+(23)+AM107</f>
        <v>303</v>
      </c>
      <c r="AO107" s="236">
        <f>Z107-AN107</f>
        <v>-52.699999999999989</v>
      </c>
      <c r="AP107" s="453"/>
      <c r="AQ107" s="271" t="s">
        <v>277</v>
      </c>
      <c r="AR107" s="632">
        <f>H107</f>
        <v>190.9</v>
      </c>
      <c r="AS107" s="632">
        <f>Z107</f>
        <v>250.3</v>
      </c>
      <c r="AT107" s="632">
        <f t="shared" si="117"/>
        <v>303</v>
      </c>
      <c r="AU107" s="292">
        <f>S107-G107</f>
        <v>301.40000000000009</v>
      </c>
      <c r="AV107" s="292">
        <f t="shared" si="118"/>
        <v>512</v>
      </c>
      <c r="BE107" s="957">
        <f t="shared" ref="BE107:BE109" si="119">B107</f>
        <v>7</v>
      </c>
    </row>
    <row r="108" spans="1:57">
      <c r="A108" s="800">
        <f t="shared" ref="A108:B109" si="120">A107+1</f>
        <v>33</v>
      </c>
      <c r="B108" s="785">
        <f>B98+1</f>
        <v>26</v>
      </c>
      <c r="C108" s="941" t="s">
        <v>238</v>
      </c>
      <c r="D108" s="892">
        <v>429</v>
      </c>
      <c r="E108" s="629">
        <f>(2*D108)</f>
        <v>858</v>
      </c>
      <c r="F108" s="947">
        <f>2*388</f>
        <v>776</v>
      </c>
      <c r="G108" s="629">
        <f>F108*1.15</f>
        <v>892.4</v>
      </c>
      <c r="H108" s="612">
        <f t="shared" si="115"/>
        <v>197.34</v>
      </c>
      <c r="I108" s="618">
        <f>0.5*(H108*1.1)</f>
        <v>108.53700000000001</v>
      </c>
      <c r="J108" s="619" t="s">
        <v>50</v>
      </c>
      <c r="K108" s="619">
        <v>170</v>
      </c>
      <c r="L108" s="619">
        <v>30</v>
      </c>
      <c r="M108" s="619">
        <v>160</v>
      </c>
      <c r="N108" s="619">
        <v>15</v>
      </c>
      <c r="O108" s="948">
        <f>183-70</f>
        <v>113</v>
      </c>
      <c r="P108" s="619" t="s">
        <v>50</v>
      </c>
      <c r="Q108" s="619">
        <f>SUM(J108:P108)</f>
        <v>488</v>
      </c>
      <c r="R108" s="438">
        <f>2*Q108</f>
        <v>976</v>
      </c>
      <c r="S108" s="745">
        <f>R108+(2*71)</f>
        <v>1118</v>
      </c>
      <c r="T108" s="644">
        <v>35.65</v>
      </c>
      <c r="U108" s="949">
        <v>13</v>
      </c>
      <c r="V108" s="949">
        <v>82</v>
      </c>
      <c r="W108" s="945" t="s">
        <v>50</v>
      </c>
      <c r="X108" s="950">
        <f>SUM(T108:W108)</f>
        <v>130.65</v>
      </c>
      <c r="Y108" s="620">
        <f>2*X108</f>
        <v>261.3</v>
      </c>
      <c r="Z108" s="621">
        <f>(Y108+(23))</f>
        <v>284.3</v>
      </c>
      <c r="AA108" s="612">
        <f>Z108-H108</f>
        <v>86.960000000000008</v>
      </c>
      <c r="AB108" s="612">
        <f>(Z108)-(I108)</f>
        <v>175.76300000000001</v>
      </c>
      <c r="AC108" s="952">
        <f>306-78</f>
        <v>228</v>
      </c>
      <c r="AD108" s="612">
        <f t="shared" si="116"/>
        <v>81.656000000000006</v>
      </c>
      <c r="AE108" s="618">
        <f>X108-V108+AD108</f>
        <v>130.30600000000001</v>
      </c>
      <c r="AF108" s="614">
        <f>2*AE108</f>
        <v>260.61200000000002</v>
      </c>
      <c r="AG108" s="305">
        <f>AF108+(23)</f>
        <v>283.61200000000002</v>
      </c>
      <c r="AH108" s="633">
        <f>AG108-I108</f>
        <v>175.07500000000002</v>
      </c>
      <c r="AI108" s="1076" t="s">
        <v>371</v>
      </c>
      <c r="AJ108" s="1089">
        <v>84</v>
      </c>
      <c r="AK108" s="1075">
        <f>2*AJ108+(2*71)+(2*45)</f>
        <v>400</v>
      </c>
      <c r="AL108" s="1075">
        <f>S108-AK108</f>
        <v>718</v>
      </c>
      <c r="AM108" s="611">
        <v>15</v>
      </c>
      <c r="AN108" s="235">
        <f>(232)+(23)+AM108</f>
        <v>270</v>
      </c>
      <c r="AO108" s="236">
        <f>Z108-AN108</f>
        <v>14.300000000000011</v>
      </c>
      <c r="AQ108" s="941" t="s">
        <v>777</v>
      </c>
      <c r="AR108" s="632">
        <f>H108</f>
        <v>197.34</v>
      </c>
      <c r="AS108" s="632">
        <f>Z108</f>
        <v>284.3</v>
      </c>
      <c r="AT108" s="632">
        <f t="shared" si="117"/>
        <v>270</v>
      </c>
      <c r="AU108" s="292">
        <f>S108-G108</f>
        <v>225.60000000000002</v>
      </c>
      <c r="AV108" s="292">
        <f t="shared" si="118"/>
        <v>718</v>
      </c>
      <c r="BE108" s="990">
        <f t="shared" si="119"/>
        <v>26</v>
      </c>
    </row>
    <row r="109" spans="1:57">
      <c r="A109" s="800">
        <f t="shared" si="120"/>
        <v>34</v>
      </c>
      <c r="B109" s="785">
        <f t="shared" si="120"/>
        <v>27</v>
      </c>
      <c r="C109" s="271" t="s">
        <v>1060</v>
      </c>
      <c r="D109" s="892">
        <v>521</v>
      </c>
      <c r="E109" s="875">
        <f>(2*D109)</f>
        <v>1042</v>
      </c>
      <c r="F109" s="875">
        <f>(2*445)</f>
        <v>890</v>
      </c>
      <c r="G109" s="629">
        <f>F109*1.15</f>
        <v>1023.4999999999999</v>
      </c>
      <c r="H109" s="612">
        <f>(E109*0.23)</f>
        <v>239.66</v>
      </c>
      <c r="I109" s="618">
        <f>0.5*(H109*1.1)</f>
        <v>131.81300000000002</v>
      </c>
      <c r="J109" s="619" t="s">
        <v>50</v>
      </c>
      <c r="K109" s="619">
        <v>170</v>
      </c>
      <c r="L109" s="619">
        <v>30</v>
      </c>
      <c r="M109" s="619">
        <v>160</v>
      </c>
      <c r="N109" s="619">
        <v>15</v>
      </c>
      <c r="O109" s="619">
        <v>183</v>
      </c>
      <c r="P109" s="619" t="s">
        <v>50</v>
      </c>
      <c r="Q109" s="619">
        <f>SUM(J109:P109)</f>
        <v>558</v>
      </c>
      <c r="R109" s="438">
        <f>2*Q109</f>
        <v>1116</v>
      </c>
      <c r="S109" s="745">
        <f>R109+(2*71)</f>
        <v>1258</v>
      </c>
      <c r="T109" s="644">
        <v>35.65</v>
      </c>
      <c r="U109" s="949">
        <v>13</v>
      </c>
      <c r="V109" s="949">
        <v>93</v>
      </c>
      <c r="W109" s="945" t="s">
        <v>50</v>
      </c>
      <c r="X109" s="950">
        <f>SUM(T109:W109)</f>
        <v>141.65</v>
      </c>
      <c r="Y109" s="620">
        <f>2*X109</f>
        <v>283.3</v>
      </c>
      <c r="Z109" s="621">
        <f>(Y109+(23))</f>
        <v>306.3</v>
      </c>
      <c r="AA109" s="612">
        <f>Z109-H109</f>
        <v>66.640000000000015</v>
      </c>
      <c r="AB109" s="612">
        <f>(Z109)-(I109)</f>
        <v>174.48699999999999</v>
      </c>
      <c r="AC109" s="953">
        <v>306</v>
      </c>
      <c r="AD109" s="612">
        <f>(33.89)+(AC109*0.2095)</f>
        <v>97.997</v>
      </c>
      <c r="AE109" s="618">
        <f>X109-V109+AD109</f>
        <v>146.64699999999999</v>
      </c>
      <c r="AF109" s="614">
        <f>2*AE109</f>
        <v>293.29399999999998</v>
      </c>
      <c r="AG109" s="305">
        <f>AF109+(23)</f>
        <v>316.29399999999998</v>
      </c>
      <c r="AH109" s="633">
        <f>AG109-I109</f>
        <v>184.48099999999997</v>
      </c>
      <c r="AI109" s="1076" t="s">
        <v>378</v>
      </c>
      <c r="AJ109" s="1088">
        <v>87</v>
      </c>
      <c r="AK109" s="1075">
        <f>(2*AJ109)+(2*71)+(2*45)</f>
        <v>406</v>
      </c>
      <c r="AL109" s="1075">
        <f>S109-AK109</f>
        <v>852</v>
      </c>
      <c r="AM109" s="666" t="s">
        <v>113</v>
      </c>
      <c r="AN109" s="235">
        <f>198+(23)</f>
        <v>221</v>
      </c>
      <c r="AO109" s="236">
        <f>Z109-AN109</f>
        <v>85.300000000000011</v>
      </c>
      <c r="AQ109" s="271" t="s">
        <v>776</v>
      </c>
      <c r="AR109" s="632">
        <f>H109</f>
        <v>239.66</v>
      </c>
      <c r="AS109" s="632">
        <f>Z109</f>
        <v>306.3</v>
      </c>
      <c r="AT109" s="632">
        <f t="shared" si="117"/>
        <v>221</v>
      </c>
      <c r="AU109" s="292">
        <f>S109-G109</f>
        <v>234.50000000000011</v>
      </c>
      <c r="AV109" s="292">
        <f t="shared" si="118"/>
        <v>852</v>
      </c>
      <c r="BE109" s="990">
        <f t="shared" si="119"/>
        <v>27</v>
      </c>
    </row>
    <row r="110" spans="1:57" ht="299" customHeight="1">
      <c r="C110" s="12"/>
      <c r="D110" s="1521" t="s">
        <v>1046</v>
      </c>
      <c r="E110" s="1522"/>
      <c r="F110" s="894" t="s">
        <v>1022</v>
      </c>
      <c r="G110" s="1185" t="s">
        <v>1023</v>
      </c>
      <c r="H110" s="1189" t="s">
        <v>1024</v>
      </c>
      <c r="I110" s="646"/>
      <c r="J110" s="942"/>
      <c r="K110" s="1221" t="s">
        <v>1049</v>
      </c>
      <c r="L110" s="1188" t="s">
        <v>1050</v>
      </c>
      <c r="M110" s="1202" t="s">
        <v>189</v>
      </c>
      <c r="N110" s="1202" t="s">
        <v>171</v>
      </c>
      <c r="O110" s="1222" t="s">
        <v>718</v>
      </c>
      <c r="P110" s="1064" t="s">
        <v>1055</v>
      </c>
      <c r="Q110" s="943"/>
      <c r="R110" s="426"/>
      <c r="S110" s="334" t="s">
        <v>1169</v>
      </c>
      <c r="T110" s="1063" t="s">
        <v>1056</v>
      </c>
      <c r="U110" s="1063" t="s">
        <v>1015</v>
      </c>
      <c r="V110" s="1063" t="s">
        <v>130</v>
      </c>
      <c r="W110" s="1202" t="s">
        <v>1061</v>
      </c>
      <c r="X110" s="427"/>
      <c r="Y110" s="428"/>
      <c r="Z110" s="1230" t="s">
        <v>1148</v>
      </c>
      <c r="AA110" s="954"/>
      <c r="AB110" s="430"/>
      <c r="AC110" s="1072" t="s">
        <v>1062</v>
      </c>
      <c r="AD110" s="1222" t="s">
        <v>1171</v>
      </c>
      <c r="AE110" s="431"/>
      <c r="AF110" s="432"/>
      <c r="AG110" s="1230" t="s">
        <v>1148</v>
      </c>
      <c r="AH110" s="955"/>
      <c r="AI110" s="432"/>
      <c r="AJ110" s="1205" t="s">
        <v>1157</v>
      </c>
      <c r="AK110" s="433"/>
      <c r="AL110" s="1205" t="s">
        <v>1033</v>
      </c>
      <c r="AM110" s="434"/>
      <c r="AN110" s="444" t="s">
        <v>49</v>
      </c>
      <c r="AO110" s="435"/>
      <c r="AP110" s="460"/>
      <c r="AQ110" s="1218" t="s">
        <v>1063</v>
      </c>
    </row>
    <row r="111" spans="1:57" ht="15" customHeight="1">
      <c r="AI111" s="56"/>
      <c r="AV111" s="1278" t="s">
        <v>82</v>
      </c>
    </row>
    <row r="112" spans="1:57" ht="15" customHeight="1">
      <c r="AI112" s="56"/>
    </row>
    <row r="113" spans="1:57">
      <c r="B113" s="337" t="s">
        <v>71</v>
      </c>
      <c r="C113" s="1568" t="s">
        <v>641</v>
      </c>
      <c r="D113" s="1568"/>
      <c r="E113" s="1568"/>
      <c r="F113" s="1568"/>
      <c r="G113" s="1568"/>
      <c r="H113" s="1568"/>
      <c r="I113" s="1568"/>
      <c r="J113" s="1568"/>
      <c r="K113" s="1568"/>
      <c r="L113" s="1568"/>
      <c r="M113" s="1568"/>
      <c r="N113" s="1568"/>
      <c r="O113" s="1568"/>
      <c r="P113" s="1568"/>
      <c r="Q113" s="1568"/>
      <c r="R113" s="1568"/>
      <c r="S113" s="1568"/>
      <c r="T113" s="1407"/>
      <c r="U113" s="1407"/>
      <c r="V113" s="1407"/>
      <c r="W113" s="1407"/>
      <c r="X113" s="1407"/>
      <c r="Y113" s="1407"/>
      <c r="Z113" s="1407"/>
      <c r="AA113" s="1407"/>
      <c r="AB113" s="1407"/>
      <c r="AC113" s="1407"/>
      <c r="AD113" s="1407"/>
      <c r="AE113" s="1407"/>
      <c r="AF113" s="1407"/>
      <c r="AG113" s="1407"/>
      <c r="AH113" s="1407"/>
      <c r="AI113" s="924"/>
      <c r="AJ113" s="63"/>
      <c r="AK113" s="52"/>
      <c r="AL113" s="107"/>
      <c r="AM113" s="107"/>
      <c r="AN113" s="56"/>
      <c r="AO113" s="56"/>
      <c r="AP113" s="446"/>
      <c r="AQ113" s="183"/>
      <c r="AR113" s="183"/>
      <c r="AS113" s="12"/>
      <c r="AT113" s="12"/>
      <c r="AU113" s="12"/>
      <c r="AV113" s="12"/>
      <c r="AW113" s="12"/>
      <c r="AX113" s="12"/>
    </row>
    <row r="114" spans="1:57" ht="33">
      <c r="C114" s="503" t="s">
        <v>116</v>
      </c>
      <c r="D114" s="1569" t="s">
        <v>28</v>
      </c>
      <c r="E114" s="1569"/>
      <c r="F114" s="1569"/>
      <c r="G114" s="1569"/>
      <c r="H114" s="1569"/>
      <c r="I114" s="1570"/>
      <c r="J114" s="1571" t="s">
        <v>104</v>
      </c>
      <c r="K114" s="1572"/>
      <c r="L114" s="1572"/>
      <c r="M114" s="1572"/>
      <c r="N114" s="1572"/>
      <c r="O114" s="1572"/>
      <c r="P114" s="1572"/>
      <c r="Q114" s="1572"/>
      <c r="R114" s="1573" t="s">
        <v>22</v>
      </c>
      <c r="S114" s="1573"/>
      <c r="T114" s="1516" t="s">
        <v>136</v>
      </c>
      <c r="U114" s="1574"/>
      <c r="V114" s="1574"/>
      <c r="W114" s="1574"/>
      <c r="X114" s="1574"/>
      <c r="Y114" s="1575" t="s">
        <v>126</v>
      </c>
      <c r="Z114" s="1576"/>
      <c r="AA114" s="195"/>
      <c r="AB114" s="196"/>
      <c r="AC114" s="1549" t="s">
        <v>101</v>
      </c>
      <c r="AD114" s="1550"/>
      <c r="AE114" s="1550"/>
      <c r="AF114" s="1551" t="s">
        <v>23</v>
      </c>
      <c r="AG114" s="1552"/>
      <c r="AH114" s="915"/>
      <c r="AI114" s="835"/>
      <c r="AJ114" s="1507" t="s">
        <v>25</v>
      </c>
      <c r="AK114" s="1508"/>
      <c r="AL114" s="1508"/>
      <c r="AM114" s="1508"/>
      <c r="AN114" s="1509"/>
      <c r="AO114" s="204"/>
      <c r="AP114" s="446"/>
      <c r="AV114" s="1278" t="s">
        <v>82</v>
      </c>
    </row>
    <row r="115" spans="1:57">
      <c r="C115" s="507"/>
      <c r="D115" s="197">
        <v>1</v>
      </c>
      <c r="E115" s="200">
        <f>D115+1</f>
        <v>2</v>
      </c>
      <c r="F115" s="200">
        <f t="shared" ref="F115" si="121">E115+1</f>
        <v>3</v>
      </c>
      <c r="G115" s="200">
        <f t="shared" ref="G115" si="122">F115+1</f>
        <v>4</v>
      </c>
      <c r="H115" s="200">
        <f t="shared" ref="H115" si="123">G115+1</f>
        <v>5</v>
      </c>
      <c r="I115" s="199">
        <f t="shared" ref="I115" si="124">H115+1</f>
        <v>6</v>
      </c>
      <c r="J115" s="197">
        <f t="shared" ref="J115" si="125">I115+1</f>
        <v>7</v>
      </c>
      <c r="K115" s="200">
        <f t="shared" ref="K115" si="126">J115+1</f>
        <v>8</v>
      </c>
      <c r="L115" s="200">
        <f t="shared" ref="L115" si="127">K115+1</f>
        <v>9</v>
      </c>
      <c r="M115" s="200">
        <f t="shared" ref="M115" si="128">L115+1</f>
        <v>10</v>
      </c>
      <c r="N115" s="200">
        <f t="shared" ref="N115" si="129">M115+1</f>
        <v>11</v>
      </c>
      <c r="O115" s="200">
        <f t="shared" ref="O115" si="130">N115+1</f>
        <v>12</v>
      </c>
      <c r="P115" s="200">
        <f t="shared" ref="P115" si="131">O115+1</f>
        <v>13</v>
      </c>
      <c r="Q115" s="199">
        <f t="shared" ref="Q115" si="132">P115+1</f>
        <v>14</v>
      </c>
      <c r="R115" s="197">
        <f t="shared" ref="R115" si="133">Q115+1</f>
        <v>15</v>
      </c>
      <c r="S115" s="199">
        <v>16</v>
      </c>
      <c r="T115" s="197">
        <v>17</v>
      </c>
      <c r="U115" s="200">
        <v>18</v>
      </c>
      <c r="V115" s="200">
        <f>U115+1</f>
        <v>19</v>
      </c>
      <c r="W115" s="200">
        <f>V115+1</f>
        <v>20</v>
      </c>
      <c r="X115" s="200">
        <f>W115+1</f>
        <v>21</v>
      </c>
      <c r="Y115" s="197">
        <f>X115+1</f>
        <v>22</v>
      </c>
      <c r="Z115" s="199">
        <f>Y115+1</f>
        <v>23</v>
      </c>
      <c r="AA115" s="197">
        <f t="shared" ref="AA115" si="134">Z115+1</f>
        <v>24</v>
      </c>
      <c r="AB115" s="199">
        <f t="shared" ref="AB115" si="135">AA115+1</f>
        <v>25</v>
      </c>
      <c r="AC115" s="1231">
        <f t="shared" ref="AC115" si="136">AB115+1</f>
        <v>26</v>
      </c>
      <c r="AD115" s="200">
        <f t="shared" ref="AD115" si="137">AC115+1</f>
        <v>27</v>
      </c>
      <c r="AE115" s="200">
        <f t="shared" ref="AE115" si="138">AD115+1</f>
        <v>28</v>
      </c>
      <c r="AF115" s="200">
        <f t="shared" ref="AF115" si="139">AE115+1</f>
        <v>29</v>
      </c>
      <c r="AG115" s="199">
        <f t="shared" ref="AG115" si="140">AF115+1</f>
        <v>30</v>
      </c>
      <c r="AH115" s="197">
        <f t="shared" ref="AH115" si="141">AG115+1</f>
        <v>31</v>
      </c>
      <c r="AI115" s="86">
        <f>AH115+1</f>
        <v>32</v>
      </c>
      <c r="AJ115" s="38">
        <f>AI115+1</f>
        <v>33</v>
      </c>
      <c r="AK115" s="200">
        <f t="shared" ref="AK115" si="142">AJ115+1</f>
        <v>34</v>
      </c>
      <c r="AL115" s="200">
        <f t="shared" ref="AL115" si="143">AK115+1</f>
        <v>35</v>
      </c>
      <c r="AM115" s="38">
        <f>AL115+1</f>
        <v>36</v>
      </c>
      <c r="AN115" s="359">
        <f>AM115+1</f>
        <v>37</v>
      </c>
      <c r="AO115" s="197">
        <f t="shared" ref="AO115" si="144">AN115+1</f>
        <v>38</v>
      </c>
      <c r="AP115" s="459"/>
    </row>
    <row r="116" spans="1:57" ht="140" customHeight="1">
      <c r="C116" s="1068" t="s">
        <v>1044</v>
      </c>
      <c r="D116" s="1087" t="s">
        <v>703</v>
      </c>
      <c r="E116" s="1054" t="s">
        <v>704</v>
      </c>
      <c r="F116" s="1054" t="s">
        <v>407</v>
      </c>
      <c r="G116" s="1054" t="s">
        <v>408</v>
      </c>
      <c r="H116" s="418" t="s">
        <v>409</v>
      </c>
      <c r="I116" s="939" t="s">
        <v>690</v>
      </c>
      <c r="J116" s="1025" t="s">
        <v>705</v>
      </c>
      <c r="K116" s="1025" t="s">
        <v>706</v>
      </c>
      <c r="L116" s="1025" t="s">
        <v>707</v>
      </c>
      <c r="M116" s="1025" t="s">
        <v>708</v>
      </c>
      <c r="N116" s="1025" t="s">
        <v>719</v>
      </c>
      <c r="O116" s="1025" t="s">
        <v>723</v>
      </c>
      <c r="P116" s="1025" t="s">
        <v>1064</v>
      </c>
      <c r="Q116" s="1027" t="s">
        <v>418</v>
      </c>
      <c r="R116" s="439" t="s">
        <v>492</v>
      </c>
      <c r="S116" s="322" t="s">
        <v>448</v>
      </c>
      <c r="T116" s="1030" t="s">
        <v>1053</v>
      </c>
      <c r="U116" s="819" t="s">
        <v>712</v>
      </c>
      <c r="V116" s="819" t="s">
        <v>720</v>
      </c>
      <c r="W116" s="1101" t="s">
        <v>721</v>
      </c>
      <c r="X116" s="819" t="s">
        <v>484</v>
      </c>
      <c r="Y116" s="175" t="s">
        <v>425</v>
      </c>
      <c r="Z116" s="545" t="s">
        <v>520</v>
      </c>
      <c r="AA116" s="819" t="s">
        <v>650</v>
      </c>
      <c r="AB116" s="819" t="s">
        <v>428</v>
      </c>
      <c r="AC116" s="1026" t="s">
        <v>429</v>
      </c>
      <c r="AD116" s="819" t="s">
        <v>724</v>
      </c>
      <c r="AE116" s="1156" t="s">
        <v>431</v>
      </c>
      <c r="AF116" s="613" t="s">
        <v>432</v>
      </c>
      <c r="AG116" s="615" t="s">
        <v>639</v>
      </c>
      <c r="AH116" s="1031" t="s">
        <v>434</v>
      </c>
      <c r="AI116" s="1026" t="s">
        <v>346</v>
      </c>
      <c r="AJ116" s="1032" t="s">
        <v>435</v>
      </c>
      <c r="AK116" s="1111" t="s">
        <v>0</v>
      </c>
      <c r="AL116" s="1162" t="s">
        <v>27</v>
      </c>
      <c r="AM116" s="819" t="s">
        <v>402</v>
      </c>
      <c r="AN116" s="820" t="s">
        <v>343</v>
      </c>
      <c r="AO116" s="570" t="s">
        <v>436</v>
      </c>
      <c r="AP116" s="446"/>
      <c r="AQ116" s="1068" t="s">
        <v>1044</v>
      </c>
      <c r="AR116" s="418" t="s">
        <v>438</v>
      </c>
      <c r="AS116" s="418" t="s">
        <v>531</v>
      </c>
      <c r="AT116" s="361" t="s">
        <v>440</v>
      </c>
      <c r="AU116" s="861" t="s">
        <v>403</v>
      </c>
      <c r="AV116" s="861" t="s">
        <v>746</v>
      </c>
      <c r="BE116" s="850" t="s">
        <v>779</v>
      </c>
    </row>
    <row r="117" spans="1:57" s="743" customFormat="1" ht="15" customHeight="1">
      <c r="A117" s="799">
        <f>A109+1</f>
        <v>35</v>
      </c>
      <c r="B117" s="781">
        <f>B107+1</f>
        <v>8</v>
      </c>
      <c r="C117" s="862" t="s">
        <v>302</v>
      </c>
      <c r="D117" s="952">
        <v>420</v>
      </c>
      <c r="E117" s="948">
        <f>2*D117</f>
        <v>840</v>
      </c>
      <c r="F117" s="948">
        <f>2*354</f>
        <v>708</v>
      </c>
      <c r="G117" s="1106">
        <f>F117*1.15</f>
        <v>814.19999999999993</v>
      </c>
      <c r="H117" s="612">
        <f t="shared" ref="H117" si="145">(E117*0.23)</f>
        <v>193.20000000000002</v>
      </c>
      <c r="I117" s="618">
        <f>0.5*(H117*1.1)</f>
        <v>106.26000000000002</v>
      </c>
      <c r="J117" s="1106" t="s">
        <v>50</v>
      </c>
      <c r="K117" s="948">
        <v>170</v>
      </c>
      <c r="L117" s="948">
        <v>30</v>
      </c>
      <c r="M117" s="948">
        <v>160</v>
      </c>
      <c r="N117" s="948">
        <v>15</v>
      </c>
      <c r="O117" s="948">
        <f>183-102</f>
        <v>81</v>
      </c>
      <c r="P117" s="742">
        <f>(240-155)+15</f>
        <v>100</v>
      </c>
      <c r="Q117" s="1106">
        <f>SUM(J117:P117)</f>
        <v>556</v>
      </c>
      <c r="R117" s="438">
        <f>2*Q117</f>
        <v>1112</v>
      </c>
      <c r="S117" s="745">
        <f>R117+(2*71)</f>
        <v>1254</v>
      </c>
      <c r="T117" s="644">
        <v>35.65</v>
      </c>
      <c r="U117" s="949">
        <v>13</v>
      </c>
      <c r="V117" s="949">
        <v>64</v>
      </c>
      <c r="W117" s="949">
        <v>1</v>
      </c>
      <c r="X117" s="950">
        <f>SUM(T117:W117)</f>
        <v>113.65</v>
      </c>
      <c r="Y117" s="620">
        <f>2*X117</f>
        <v>227.3</v>
      </c>
      <c r="Z117" s="621">
        <f>(Y117+(23))</f>
        <v>250.3</v>
      </c>
      <c r="AA117" s="612">
        <f>Z117-H117</f>
        <v>57.099999999999994</v>
      </c>
      <c r="AB117" s="612">
        <f>(Z117)-(I117)</f>
        <v>144.04</v>
      </c>
      <c r="AC117" s="1232">
        <f>460-171</f>
        <v>289</v>
      </c>
      <c r="AD117" s="612">
        <f t="shared" ref="AD117:AD121" si="146">(33.89)+(AC117*0.2095)</f>
        <v>94.43549999999999</v>
      </c>
      <c r="AE117" s="618">
        <f>X117-V117+AD117</f>
        <v>144.0855</v>
      </c>
      <c r="AF117" s="614">
        <f>2*AE117</f>
        <v>288.17099999999999</v>
      </c>
      <c r="AG117" s="305">
        <f>AF117+(23)</f>
        <v>311.17099999999999</v>
      </c>
      <c r="AH117" s="626">
        <f>AG117-I117</f>
        <v>204.91099999999997</v>
      </c>
      <c r="AI117" s="1233" t="s">
        <v>376</v>
      </c>
      <c r="AJ117" s="1049">
        <v>103</v>
      </c>
      <c r="AK117" s="1060">
        <f>2*AJ117+(2*71)+(2*45)</f>
        <v>438</v>
      </c>
      <c r="AL117" s="1060">
        <f>S117-AK117</f>
        <v>816</v>
      </c>
      <c r="AM117" s="611">
        <v>31</v>
      </c>
      <c r="AN117" s="748">
        <f>196+23+AM117</f>
        <v>250</v>
      </c>
      <c r="AO117" s="724">
        <f>Z117-AN117</f>
        <v>0.30000000000001137</v>
      </c>
      <c r="AP117" s="744"/>
      <c r="AQ117" s="862" t="s">
        <v>778</v>
      </c>
      <c r="AR117" s="632">
        <f>H117</f>
        <v>193.20000000000002</v>
      </c>
      <c r="AS117" s="632">
        <f>Z117</f>
        <v>250.3</v>
      </c>
      <c r="AT117" s="632">
        <f t="shared" ref="AT117" si="147">AN117</f>
        <v>250</v>
      </c>
      <c r="AU117" s="292">
        <f>S117-G117</f>
        <v>439.80000000000007</v>
      </c>
      <c r="AV117" s="292">
        <f t="shared" ref="AV117" si="148">AL117</f>
        <v>816</v>
      </c>
      <c r="BE117" s="991">
        <f>B117</f>
        <v>8</v>
      </c>
    </row>
    <row r="118" spans="1:57" s="743" customFormat="1" ht="15" customHeight="1">
      <c r="A118" s="799">
        <f>A117+1</f>
        <v>36</v>
      </c>
      <c r="B118" s="781">
        <f>B117+1</f>
        <v>9</v>
      </c>
      <c r="C118" s="862" t="s">
        <v>303</v>
      </c>
      <c r="D118" s="952">
        <v>434</v>
      </c>
      <c r="E118" s="948">
        <f t="shared" ref="E118:E121" si="149">2*D118</f>
        <v>868</v>
      </c>
      <c r="F118" s="948">
        <f>2*374</f>
        <v>748</v>
      </c>
      <c r="G118" s="1106">
        <f t="shared" ref="G118:G121" si="150">F118*1.15</f>
        <v>860.19999999999993</v>
      </c>
      <c r="H118" s="612">
        <f t="shared" ref="H118:H121" si="151">(E118*0.23)</f>
        <v>199.64000000000001</v>
      </c>
      <c r="I118" s="618">
        <f t="shared" ref="I118:I121" si="152">0.5*(H118*1.1)</f>
        <v>109.80200000000002</v>
      </c>
      <c r="J118" s="1106" t="s">
        <v>50</v>
      </c>
      <c r="K118" s="1106">
        <v>170</v>
      </c>
      <c r="L118" s="1106">
        <v>30</v>
      </c>
      <c r="M118" s="1106">
        <v>160</v>
      </c>
      <c r="N118" s="1106">
        <v>15</v>
      </c>
      <c r="O118" s="948">
        <f t="shared" ref="O118:O121" si="153">183-102</f>
        <v>81</v>
      </c>
      <c r="P118" s="742">
        <f>(240-120)+15</f>
        <v>135</v>
      </c>
      <c r="Q118" s="1106">
        <f t="shared" ref="Q118:Q121" si="154">SUM(J118:P118)</f>
        <v>591</v>
      </c>
      <c r="R118" s="438">
        <f t="shared" ref="R118:R121" si="155">2*Q118</f>
        <v>1182</v>
      </c>
      <c r="S118" s="745">
        <f t="shared" ref="S118:S121" si="156">R118+(2*71)</f>
        <v>1324</v>
      </c>
      <c r="T118" s="644">
        <v>35.65</v>
      </c>
      <c r="U118" s="949">
        <v>13</v>
      </c>
      <c r="V118" s="949">
        <v>64</v>
      </c>
      <c r="W118" s="949">
        <v>1</v>
      </c>
      <c r="X118" s="950">
        <f>SUM(T118:W118)</f>
        <v>113.65</v>
      </c>
      <c r="Y118" s="620">
        <f t="shared" ref="Y118:Y121" si="157">2*X118</f>
        <v>227.3</v>
      </c>
      <c r="Z118" s="621">
        <f t="shared" ref="Z118:Z121" si="158">(Y118+(23))</f>
        <v>250.3</v>
      </c>
      <c r="AA118" s="612">
        <f t="shared" ref="AA118:AA121" si="159">Z118-H118</f>
        <v>50.66</v>
      </c>
      <c r="AB118" s="612">
        <f t="shared" ref="AB118:AB121" si="160">(Z118)-(I118)</f>
        <v>140.49799999999999</v>
      </c>
      <c r="AC118" s="1232">
        <f t="shared" ref="AC118:AC121" si="161">460-171</f>
        <v>289</v>
      </c>
      <c r="AD118" s="612">
        <f t="shared" si="146"/>
        <v>94.43549999999999</v>
      </c>
      <c r="AE118" s="618">
        <f t="shared" ref="AE118:AE121" si="162">X118-V118+AD118</f>
        <v>144.0855</v>
      </c>
      <c r="AF118" s="614">
        <f t="shared" ref="AF118:AF121" si="163">2*AE118</f>
        <v>288.17099999999999</v>
      </c>
      <c r="AG118" s="305">
        <f t="shared" ref="AG118:AG121" si="164">AF118+(23)</f>
        <v>311.17099999999999</v>
      </c>
      <c r="AH118" s="626">
        <f t="shared" ref="AH118:AH121" si="165">AG118-I118</f>
        <v>201.36899999999997</v>
      </c>
      <c r="AI118" s="1233" t="s">
        <v>376</v>
      </c>
      <c r="AJ118" s="1049">
        <v>103</v>
      </c>
      <c r="AK118" s="1060">
        <f t="shared" ref="AK118:AK119" si="166">2*AJ118+(2*71)+(2*45)</f>
        <v>438</v>
      </c>
      <c r="AL118" s="1060">
        <f>S118-AK118</f>
        <v>886</v>
      </c>
      <c r="AM118" s="611">
        <v>31</v>
      </c>
      <c r="AN118" s="748">
        <f>196+23+AM118</f>
        <v>250</v>
      </c>
      <c r="AO118" s="724">
        <f>Z118-AN118</f>
        <v>0.30000000000001137</v>
      </c>
      <c r="AP118" s="744"/>
      <c r="AQ118" s="862" t="s">
        <v>309</v>
      </c>
      <c r="AR118" s="632">
        <f>H118</f>
        <v>199.64000000000001</v>
      </c>
      <c r="AS118" s="632">
        <f>Z118</f>
        <v>250.3</v>
      </c>
      <c r="AT118" s="632">
        <f t="shared" ref="AT118:AT121" si="167">AN118</f>
        <v>250</v>
      </c>
      <c r="AU118" s="292">
        <f>S118-G118</f>
        <v>463.80000000000007</v>
      </c>
      <c r="AV118" s="292">
        <f t="shared" ref="AV118:AV121" si="168">AL118</f>
        <v>886</v>
      </c>
      <c r="BE118" s="991">
        <f t="shared" ref="BE118:BE121" si="169">B118</f>
        <v>9</v>
      </c>
    </row>
    <row r="119" spans="1:57" s="743" customFormat="1" ht="15" customHeight="1">
      <c r="A119" s="799">
        <f>A118+1</f>
        <v>37</v>
      </c>
      <c r="B119" s="786">
        <f>B109+1</f>
        <v>28</v>
      </c>
      <c r="C119" s="863" t="s">
        <v>304</v>
      </c>
      <c r="D119" s="952">
        <v>457</v>
      </c>
      <c r="E119" s="948">
        <f t="shared" si="149"/>
        <v>914</v>
      </c>
      <c r="F119" s="948">
        <f>2*383</f>
        <v>766</v>
      </c>
      <c r="G119" s="1106">
        <f t="shared" si="150"/>
        <v>880.9</v>
      </c>
      <c r="H119" s="612">
        <f t="shared" si="151"/>
        <v>210.22</v>
      </c>
      <c r="I119" s="618">
        <f t="shared" si="152"/>
        <v>115.62100000000001</v>
      </c>
      <c r="J119" s="1106" t="s">
        <v>50</v>
      </c>
      <c r="K119" s="1106">
        <v>170</v>
      </c>
      <c r="L119" s="1106">
        <v>30</v>
      </c>
      <c r="M119" s="1106">
        <v>160</v>
      </c>
      <c r="N119" s="1106">
        <v>15</v>
      </c>
      <c r="O119" s="948">
        <f t="shared" si="153"/>
        <v>81</v>
      </c>
      <c r="P119" s="742">
        <f>(240-60)+15</f>
        <v>195</v>
      </c>
      <c r="Q119" s="1106">
        <f t="shared" si="154"/>
        <v>651</v>
      </c>
      <c r="R119" s="438">
        <f t="shared" si="155"/>
        <v>1302</v>
      </c>
      <c r="S119" s="745">
        <f t="shared" si="156"/>
        <v>1444</v>
      </c>
      <c r="T119" s="644">
        <v>35.65</v>
      </c>
      <c r="U119" s="949">
        <v>13</v>
      </c>
      <c r="V119" s="949">
        <v>64</v>
      </c>
      <c r="W119" s="949">
        <v>1</v>
      </c>
      <c r="X119" s="950">
        <f>SUM(T119:W119)</f>
        <v>113.65</v>
      </c>
      <c r="Y119" s="620">
        <f t="shared" si="157"/>
        <v>227.3</v>
      </c>
      <c r="Z119" s="621">
        <f t="shared" si="158"/>
        <v>250.3</v>
      </c>
      <c r="AA119" s="612">
        <f t="shared" si="159"/>
        <v>40.080000000000013</v>
      </c>
      <c r="AB119" s="612">
        <f t="shared" si="160"/>
        <v>134.679</v>
      </c>
      <c r="AC119" s="1232">
        <f t="shared" si="161"/>
        <v>289</v>
      </c>
      <c r="AD119" s="612">
        <f t="shared" si="146"/>
        <v>94.43549999999999</v>
      </c>
      <c r="AE119" s="618">
        <f t="shared" si="162"/>
        <v>144.0855</v>
      </c>
      <c r="AF119" s="614">
        <f t="shared" si="163"/>
        <v>288.17099999999999</v>
      </c>
      <c r="AG119" s="305">
        <f t="shared" si="164"/>
        <v>311.17099999999999</v>
      </c>
      <c r="AH119" s="626">
        <f t="shared" si="165"/>
        <v>195.54999999999998</v>
      </c>
      <c r="AI119" s="1233" t="s">
        <v>376</v>
      </c>
      <c r="AJ119" s="1049">
        <v>103</v>
      </c>
      <c r="AK119" s="1060">
        <f t="shared" si="166"/>
        <v>438</v>
      </c>
      <c r="AL119" s="1060">
        <f>S119-AK119</f>
        <v>1006</v>
      </c>
      <c r="AM119" s="611">
        <v>15</v>
      </c>
      <c r="AN119" s="748">
        <f>196+23+AM119</f>
        <v>234</v>
      </c>
      <c r="AO119" s="724">
        <f>Z119-AN119</f>
        <v>16.300000000000011</v>
      </c>
      <c r="AP119" s="744"/>
      <c r="AQ119" s="863" t="s">
        <v>310</v>
      </c>
      <c r="AR119" s="632">
        <f>H119</f>
        <v>210.22</v>
      </c>
      <c r="AS119" s="632">
        <f>Z119</f>
        <v>250.3</v>
      </c>
      <c r="AT119" s="632">
        <f t="shared" si="167"/>
        <v>234</v>
      </c>
      <c r="AU119" s="292">
        <f>S119-G119</f>
        <v>563.1</v>
      </c>
      <c r="AV119" s="292">
        <f t="shared" si="168"/>
        <v>1006</v>
      </c>
      <c r="BE119" s="992">
        <f t="shared" si="169"/>
        <v>28</v>
      </c>
    </row>
    <row r="120" spans="1:57" s="743" customFormat="1" ht="15" customHeight="1">
      <c r="A120" s="799">
        <f>A119+1</f>
        <v>38</v>
      </c>
      <c r="B120" s="786">
        <f t="shared" ref="B120:B121" si="170">B119+1</f>
        <v>29</v>
      </c>
      <c r="C120" s="862" t="s">
        <v>306</v>
      </c>
      <c r="D120" s="952">
        <v>473</v>
      </c>
      <c r="E120" s="948">
        <f t="shared" si="149"/>
        <v>946</v>
      </c>
      <c r="F120" s="948">
        <f>2*396</f>
        <v>792</v>
      </c>
      <c r="G120" s="1106">
        <f t="shared" si="150"/>
        <v>910.8</v>
      </c>
      <c r="H120" s="612">
        <f t="shared" si="151"/>
        <v>217.58</v>
      </c>
      <c r="I120" s="618">
        <f t="shared" si="152"/>
        <v>119.66900000000001</v>
      </c>
      <c r="J120" s="1106" t="s">
        <v>50</v>
      </c>
      <c r="K120" s="1106">
        <v>170</v>
      </c>
      <c r="L120" s="1106">
        <v>30</v>
      </c>
      <c r="M120" s="1106">
        <v>160</v>
      </c>
      <c r="N120" s="1106">
        <v>15</v>
      </c>
      <c r="O120" s="948">
        <f t="shared" si="153"/>
        <v>81</v>
      </c>
      <c r="P120" s="742">
        <f>(240-35)+15</f>
        <v>220</v>
      </c>
      <c r="Q120" s="1106">
        <f t="shared" si="154"/>
        <v>676</v>
      </c>
      <c r="R120" s="438">
        <f t="shared" si="155"/>
        <v>1352</v>
      </c>
      <c r="S120" s="745">
        <f t="shared" si="156"/>
        <v>1494</v>
      </c>
      <c r="T120" s="644">
        <v>35.65</v>
      </c>
      <c r="U120" s="949">
        <v>13</v>
      </c>
      <c r="V120" s="949">
        <v>64</v>
      </c>
      <c r="W120" s="949">
        <v>1</v>
      </c>
      <c r="X120" s="950">
        <f>SUM(T120:W120)</f>
        <v>113.65</v>
      </c>
      <c r="Y120" s="620">
        <f t="shared" si="157"/>
        <v>227.3</v>
      </c>
      <c r="Z120" s="621">
        <f t="shared" si="158"/>
        <v>250.3</v>
      </c>
      <c r="AA120" s="612">
        <f t="shared" si="159"/>
        <v>32.72</v>
      </c>
      <c r="AB120" s="612">
        <f t="shared" si="160"/>
        <v>130.631</v>
      </c>
      <c r="AC120" s="1232">
        <f t="shared" si="161"/>
        <v>289</v>
      </c>
      <c r="AD120" s="612">
        <f t="shared" si="146"/>
        <v>94.43549999999999</v>
      </c>
      <c r="AE120" s="618">
        <f t="shared" si="162"/>
        <v>144.0855</v>
      </c>
      <c r="AF120" s="614">
        <f t="shared" si="163"/>
        <v>288.17099999999999</v>
      </c>
      <c r="AG120" s="305">
        <f t="shared" si="164"/>
        <v>311.17099999999999</v>
      </c>
      <c r="AH120" s="626">
        <f t="shared" si="165"/>
        <v>191.50199999999998</v>
      </c>
      <c r="AI120" s="1233" t="s">
        <v>376</v>
      </c>
      <c r="AJ120" s="1049">
        <v>103</v>
      </c>
      <c r="AK120" s="1060">
        <f t="shared" ref="AK120" si="171">2*AJ120+(2*71)+(2*45)</f>
        <v>438</v>
      </c>
      <c r="AL120" s="1060">
        <f>S120-AK120</f>
        <v>1056</v>
      </c>
      <c r="AM120" s="611">
        <v>15</v>
      </c>
      <c r="AN120" s="748">
        <f>196+23+AM120</f>
        <v>234</v>
      </c>
      <c r="AO120" s="724">
        <f>Z120-AN120</f>
        <v>16.300000000000011</v>
      </c>
      <c r="AP120" s="744"/>
      <c r="AQ120" s="862" t="s">
        <v>311</v>
      </c>
      <c r="AR120" s="632">
        <f>H120</f>
        <v>217.58</v>
      </c>
      <c r="AS120" s="632">
        <f>Z120</f>
        <v>250.3</v>
      </c>
      <c r="AT120" s="632">
        <f t="shared" si="167"/>
        <v>234</v>
      </c>
      <c r="AU120" s="292">
        <f>S120-G120</f>
        <v>583.20000000000005</v>
      </c>
      <c r="AV120" s="292">
        <f t="shared" si="168"/>
        <v>1056</v>
      </c>
      <c r="BE120" s="992">
        <f t="shared" si="169"/>
        <v>29</v>
      </c>
    </row>
    <row r="121" spans="1:57" s="743" customFormat="1" ht="15" customHeight="1">
      <c r="A121" s="799">
        <f>A120+1</f>
        <v>39</v>
      </c>
      <c r="B121" s="786">
        <f t="shared" si="170"/>
        <v>30</v>
      </c>
      <c r="C121" s="864" t="s">
        <v>305</v>
      </c>
      <c r="D121" s="952">
        <v>492</v>
      </c>
      <c r="E121" s="948">
        <f t="shared" si="149"/>
        <v>984</v>
      </c>
      <c r="F121" s="948">
        <f>2*409</f>
        <v>818</v>
      </c>
      <c r="G121" s="1106">
        <f t="shared" si="150"/>
        <v>940.69999999999993</v>
      </c>
      <c r="H121" s="612">
        <f t="shared" si="151"/>
        <v>226.32000000000002</v>
      </c>
      <c r="I121" s="618">
        <f t="shared" si="152"/>
        <v>124.47600000000003</v>
      </c>
      <c r="J121" s="1106" t="s">
        <v>50</v>
      </c>
      <c r="K121" s="948">
        <v>170</v>
      </c>
      <c r="L121" s="948">
        <v>30</v>
      </c>
      <c r="M121" s="948">
        <v>160</v>
      </c>
      <c r="N121" s="948">
        <v>15</v>
      </c>
      <c r="O121" s="948">
        <f t="shared" si="153"/>
        <v>81</v>
      </c>
      <c r="P121" s="742">
        <f>(240-10)+15</f>
        <v>245</v>
      </c>
      <c r="Q121" s="1106">
        <f t="shared" si="154"/>
        <v>701</v>
      </c>
      <c r="R121" s="438">
        <f t="shared" si="155"/>
        <v>1402</v>
      </c>
      <c r="S121" s="745">
        <f t="shared" si="156"/>
        <v>1544</v>
      </c>
      <c r="T121" s="644">
        <v>35.65</v>
      </c>
      <c r="U121" s="949">
        <v>13</v>
      </c>
      <c r="V121" s="949">
        <v>64</v>
      </c>
      <c r="W121" s="949">
        <v>1</v>
      </c>
      <c r="X121" s="950">
        <f>SUM(T121:W121)</f>
        <v>113.65</v>
      </c>
      <c r="Y121" s="620">
        <f t="shared" si="157"/>
        <v>227.3</v>
      </c>
      <c r="Z121" s="621">
        <f t="shared" si="158"/>
        <v>250.3</v>
      </c>
      <c r="AA121" s="612">
        <f t="shared" si="159"/>
        <v>23.97999999999999</v>
      </c>
      <c r="AB121" s="612">
        <f t="shared" si="160"/>
        <v>125.82399999999998</v>
      </c>
      <c r="AC121" s="1232">
        <f t="shared" si="161"/>
        <v>289</v>
      </c>
      <c r="AD121" s="612">
        <f t="shared" si="146"/>
        <v>94.43549999999999</v>
      </c>
      <c r="AE121" s="618">
        <f t="shared" si="162"/>
        <v>144.0855</v>
      </c>
      <c r="AF121" s="614">
        <f t="shared" si="163"/>
        <v>288.17099999999999</v>
      </c>
      <c r="AG121" s="305">
        <f t="shared" si="164"/>
        <v>311.17099999999999</v>
      </c>
      <c r="AH121" s="626">
        <f t="shared" si="165"/>
        <v>186.69499999999996</v>
      </c>
      <c r="AI121" s="1233" t="s">
        <v>376</v>
      </c>
      <c r="AJ121" s="1049">
        <v>103</v>
      </c>
      <c r="AK121" s="1060">
        <f t="shared" ref="AK121" si="172">2*AJ121+(2*71)+(2*45)</f>
        <v>438</v>
      </c>
      <c r="AL121" s="1060">
        <f>S121-AK121</f>
        <v>1106</v>
      </c>
      <c r="AM121" s="611">
        <v>15</v>
      </c>
      <c r="AN121" s="748">
        <f>196+23+AM121</f>
        <v>234</v>
      </c>
      <c r="AO121" s="724">
        <f>Z121-AN121</f>
        <v>16.300000000000011</v>
      </c>
      <c r="AP121" s="744"/>
      <c r="AQ121" s="864" t="s">
        <v>312</v>
      </c>
      <c r="AR121" s="632">
        <f>H121</f>
        <v>226.32000000000002</v>
      </c>
      <c r="AS121" s="632">
        <f>Z121</f>
        <v>250.3</v>
      </c>
      <c r="AT121" s="632">
        <f t="shared" si="167"/>
        <v>234</v>
      </c>
      <c r="AU121" s="292">
        <f>S121-G121</f>
        <v>603.30000000000007</v>
      </c>
      <c r="AV121" s="292">
        <f t="shared" si="168"/>
        <v>1106</v>
      </c>
      <c r="BE121" s="992">
        <f t="shared" si="169"/>
        <v>30</v>
      </c>
    </row>
    <row r="122" spans="1:57" ht="300" customHeight="1">
      <c r="C122" s="12"/>
      <c r="D122" s="1521" t="s">
        <v>1046</v>
      </c>
      <c r="E122" s="1522"/>
      <c r="F122" s="894" t="s">
        <v>1022</v>
      </c>
      <c r="G122" s="1185" t="s">
        <v>1023</v>
      </c>
      <c r="H122" s="1189" t="s">
        <v>1024</v>
      </c>
      <c r="I122" s="646"/>
      <c r="J122" s="1226"/>
      <c r="K122" s="1227" t="s">
        <v>716</v>
      </c>
      <c r="L122" s="1016" t="s">
        <v>717</v>
      </c>
      <c r="M122" s="1202" t="s">
        <v>189</v>
      </c>
      <c r="N122" s="1202" t="s">
        <v>171</v>
      </c>
      <c r="O122" s="1222" t="s">
        <v>307</v>
      </c>
      <c r="P122" s="1064" t="s">
        <v>308</v>
      </c>
      <c r="Q122" s="1228"/>
      <c r="R122" s="426"/>
      <c r="S122" s="334" t="s">
        <v>1169</v>
      </c>
      <c r="T122" s="1063" t="s">
        <v>1056</v>
      </c>
      <c r="U122" s="1063" t="s">
        <v>1015</v>
      </c>
      <c r="V122" s="1063" t="s">
        <v>130</v>
      </c>
      <c r="W122" s="843" t="s">
        <v>1065</v>
      </c>
      <c r="X122" s="427"/>
      <c r="Y122" s="428"/>
      <c r="Z122" s="1230" t="s">
        <v>1148</v>
      </c>
      <c r="AA122" s="954"/>
      <c r="AB122" s="430"/>
      <c r="AC122" s="1207" t="s">
        <v>1066</v>
      </c>
      <c r="AD122" s="1222" t="s">
        <v>1172</v>
      </c>
      <c r="AE122" s="431"/>
      <c r="AF122" s="432"/>
      <c r="AG122" s="1230" t="s">
        <v>1148</v>
      </c>
      <c r="AH122" s="955"/>
      <c r="AI122" s="1234"/>
      <c r="AJ122" s="1205" t="s">
        <v>1157</v>
      </c>
      <c r="AK122" s="1206"/>
      <c r="AL122" s="1205" t="s">
        <v>1033</v>
      </c>
      <c r="AM122" s="755"/>
      <c r="AN122" s="756" t="s">
        <v>315</v>
      </c>
      <c r="AO122" s="435"/>
      <c r="AP122" s="460"/>
      <c r="AQ122" s="1217" t="s">
        <v>722</v>
      </c>
    </row>
    <row r="123" spans="1:57" ht="15" customHeight="1">
      <c r="AH123" s="24"/>
      <c r="AI123" s="24"/>
      <c r="AV123" s="1278" t="s">
        <v>82</v>
      </c>
    </row>
    <row r="124" spans="1:57">
      <c r="AH124" s="24"/>
      <c r="AI124" s="24"/>
    </row>
    <row r="125" spans="1:57">
      <c r="AH125" s="24"/>
      <c r="AI125" s="24"/>
    </row>
    <row r="126" spans="1:57">
      <c r="AH126" s="24"/>
      <c r="AI126" s="24"/>
    </row>
    <row r="127" spans="1:57">
      <c r="AH127" s="24"/>
      <c r="AI127" s="24"/>
    </row>
    <row r="128" spans="1:57">
      <c r="AH128" s="24"/>
      <c r="AI128" s="24"/>
    </row>
    <row r="129" spans="34:35">
      <c r="AH129" s="24"/>
      <c r="AI129" s="24"/>
    </row>
    <row r="130" spans="34:35">
      <c r="AH130" s="24"/>
      <c r="AI130" s="24"/>
    </row>
    <row r="131" spans="34:35">
      <c r="AH131" s="24"/>
      <c r="AI131" s="24"/>
    </row>
    <row r="132" spans="34:35">
      <c r="AH132" s="24"/>
      <c r="AI132" s="24"/>
    </row>
    <row r="133" spans="34:35">
      <c r="AH133" s="24"/>
      <c r="AI133" s="24"/>
    </row>
    <row r="134" spans="34:35">
      <c r="AH134" s="24"/>
      <c r="AI134" s="24"/>
    </row>
    <row r="135" spans="34:35">
      <c r="AH135" s="24"/>
      <c r="AI135" s="24"/>
    </row>
    <row r="136" spans="34:35">
      <c r="AH136" s="24"/>
      <c r="AI136" s="24"/>
    </row>
    <row r="137" spans="34:35">
      <c r="AH137" s="24"/>
      <c r="AI137" s="24"/>
    </row>
    <row r="138" spans="34:35">
      <c r="AH138" s="24"/>
      <c r="AI138" s="24"/>
    </row>
    <row r="139" spans="34:35">
      <c r="AH139" s="24"/>
      <c r="AI139" s="24"/>
    </row>
    <row r="140" spans="34:35">
      <c r="AH140" s="24"/>
      <c r="AI140" s="24"/>
    </row>
    <row r="141" spans="34:35">
      <c r="AH141" s="24"/>
      <c r="AI141" s="24"/>
    </row>
    <row r="142" spans="34:35">
      <c r="AH142" s="24"/>
      <c r="AI142" s="24"/>
    </row>
    <row r="143" spans="34:35">
      <c r="AH143" s="24"/>
      <c r="AI143" s="24"/>
    </row>
    <row r="144" spans="34:35">
      <c r="AH144" s="24"/>
      <c r="AI144" s="24"/>
    </row>
    <row r="145" spans="34:35">
      <c r="AH145" s="24"/>
      <c r="AI145" s="24"/>
    </row>
    <row r="146" spans="34:35">
      <c r="AH146" s="24"/>
      <c r="AI146" s="24"/>
    </row>
    <row r="147" spans="34:35">
      <c r="AH147" s="24"/>
      <c r="AI147" s="24"/>
    </row>
    <row r="148" spans="34:35">
      <c r="AH148" s="24"/>
      <c r="AI148" s="24"/>
    </row>
    <row r="149" spans="34:35">
      <c r="AH149" s="24"/>
      <c r="AI149" s="24"/>
    </row>
    <row r="150" spans="34:35">
      <c r="AH150" s="24"/>
      <c r="AI150" s="24"/>
    </row>
    <row r="151" spans="34:35">
      <c r="AH151" s="24"/>
      <c r="AI151" s="24"/>
    </row>
    <row r="152" spans="34:35">
      <c r="AH152" s="24"/>
      <c r="AI152" s="24"/>
    </row>
    <row r="153" spans="34:35">
      <c r="AH153" s="24"/>
      <c r="AI153" s="24"/>
    </row>
    <row r="154" spans="34:35">
      <c r="AH154" s="24"/>
      <c r="AI154" s="24"/>
    </row>
    <row r="155" spans="34:35">
      <c r="AH155" s="24"/>
      <c r="AI155" s="24"/>
    </row>
    <row r="156" spans="34:35">
      <c r="AH156" s="24"/>
      <c r="AI156" s="24"/>
    </row>
    <row r="157" spans="34:35">
      <c r="AH157" s="24"/>
      <c r="AI157" s="24"/>
    </row>
    <row r="158" spans="34:35">
      <c r="AH158" s="24"/>
      <c r="AI158" s="24"/>
    </row>
    <row r="159" spans="34:35">
      <c r="AH159" s="24"/>
      <c r="AI159" s="24"/>
    </row>
    <row r="160" spans="34:35">
      <c r="AH160" s="24"/>
      <c r="AI160" s="24"/>
    </row>
    <row r="161" spans="34:35">
      <c r="AH161" s="24"/>
      <c r="AI161" s="24"/>
    </row>
    <row r="162" spans="34:35">
      <c r="AH162" s="24"/>
      <c r="AI162" s="24"/>
    </row>
    <row r="163" spans="34:35">
      <c r="AH163" s="24"/>
      <c r="AI163" s="24"/>
    </row>
    <row r="164" spans="34:35">
      <c r="AH164" s="24"/>
      <c r="AI164" s="24"/>
    </row>
    <row r="165" spans="34:35">
      <c r="AH165" s="24"/>
      <c r="AI165" s="24"/>
    </row>
    <row r="166" spans="34:35">
      <c r="AH166" s="24"/>
      <c r="AI166" s="24"/>
    </row>
    <row r="167" spans="34:35">
      <c r="AH167" s="24"/>
      <c r="AI167" s="24"/>
    </row>
    <row r="168" spans="34:35">
      <c r="AH168" s="24"/>
      <c r="AI168" s="24"/>
    </row>
    <row r="169" spans="34:35">
      <c r="AH169" s="24"/>
      <c r="AI169" s="24"/>
    </row>
    <row r="170" spans="34:35">
      <c r="AH170" s="24"/>
      <c r="AI170" s="24"/>
    </row>
    <row r="171" spans="34:35">
      <c r="AH171" s="24"/>
      <c r="AI171" s="24"/>
    </row>
    <row r="172" spans="34:35">
      <c r="AH172" s="24"/>
      <c r="AI172" s="24"/>
    </row>
    <row r="173" spans="34:35">
      <c r="AH173" s="24"/>
      <c r="AI173" s="24"/>
    </row>
    <row r="174" spans="34:35">
      <c r="AH174" s="24"/>
      <c r="AI174" s="24"/>
    </row>
    <row r="175" spans="34:35">
      <c r="AH175" s="24"/>
      <c r="AI175" s="24"/>
    </row>
    <row r="176" spans="34:35">
      <c r="AH176" s="24"/>
      <c r="AI176" s="24"/>
    </row>
    <row r="177" spans="34:35">
      <c r="AH177" s="24"/>
      <c r="AI177" s="24"/>
    </row>
    <row r="178" spans="34:35">
      <c r="AH178" s="24"/>
      <c r="AI178" s="24"/>
    </row>
    <row r="179" spans="34:35">
      <c r="AH179" s="24"/>
      <c r="AI179" s="24"/>
    </row>
    <row r="180" spans="34:35">
      <c r="AH180" s="24"/>
      <c r="AI180" s="24"/>
    </row>
    <row r="181" spans="34:35">
      <c r="AH181" s="24"/>
      <c r="AI181" s="24"/>
    </row>
    <row r="182" spans="34:35">
      <c r="AH182" s="24"/>
      <c r="AI182" s="24"/>
    </row>
    <row r="183" spans="34:35">
      <c r="AH183" s="24"/>
      <c r="AI183" s="24"/>
    </row>
    <row r="184" spans="34:35">
      <c r="AH184" s="24"/>
      <c r="AI184" s="24"/>
    </row>
    <row r="185" spans="34:35">
      <c r="AH185" s="24"/>
      <c r="AI185" s="24"/>
    </row>
    <row r="186" spans="34:35">
      <c r="AH186" s="24"/>
      <c r="AI186" s="24"/>
    </row>
    <row r="187" spans="34:35">
      <c r="AH187" s="24"/>
      <c r="AI187" s="24"/>
    </row>
    <row r="188" spans="34:35">
      <c r="AH188" s="24"/>
      <c r="AI188" s="24"/>
    </row>
    <row r="189" spans="34:35">
      <c r="AH189" s="24"/>
      <c r="AI189" s="24"/>
    </row>
    <row r="190" spans="34:35">
      <c r="AH190" s="24"/>
      <c r="AI190" s="24"/>
    </row>
    <row r="191" spans="34:35">
      <c r="AH191" s="24"/>
      <c r="AI191" s="24"/>
    </row>
    <row r="192" spans="34:35">
      <c r="AH192" s="24"/>
      <c r="AI192" s="24"/>
    </row>
    <row r="193" spans="34:35">
      <c r="AH193" s="24"/>
      <c r="AI193" s="24"/>
    </row>
    <row r="194" spans="34:35">
      <c r="AH194" s="24"/>
      <c r="AI194" s="24"/>
    </row>
    <row r="195" spans="34:35">
      <c r="AH195" s="24"/>
      <c r="AI195" s="24"/>
    </row>
    <row r="196" spans="34:35">
      <c r="AH196" s="24"/>
      <c r="AI196" s="24"/>
    </row>
    <row r="197" spans="34:35">
      <c r="AH197" s="24"/>
      <c r="AI197" s="24"/>
    </row>
    <row r="198" spans="34:35">
      <c r="AH198" s="24"/>
      <c r="AI198" s="24"/>
    </row>
    <row r="199" spans="34:35">
      <c r="AH199" s="24"/>
      <c r="AI199" s="24"/>
    </row>
    <row r="200" spans="34:35">
      <c r="AH200" s="24"/>
      <c r="AI200" s="24"/>
    </row>
    <row r="201" spans="34:35">
      <c r="AH201" s="24"/>
      <c r="AI201" s="24"/>
    </row>
    <row r="202" spans="34:35">
      <c r="AH202" s="24"/>
      <c r="AI202" s="24"/>
    </row>
    <row r="203" spans="34:35">
      <c r="AH203" s="24"/>
      <c r="AI203" s="24"/>
    </row>
    <row r="204" spans="34:35">
      <c r="AH204" s="24"/>
      <c r="AI204" s="24"/>
    </row>
    <row r="205" spans="34:35">
      <c r="AH205" s="24"/>
      <c r="AI205" s="24"/>
    </row>
    <row r="206" spans="34:35">
      <c r="AH206" s="24"/>
      <c r="AI206" s="24"/>
    </row>
    <row r="207" spans="34:35">
      <c r="AH207" s="24"/>
      <c r="AI207" s="24"/>
    </row>
    <row r="208" spans="34:35">
      <c r="AH208" s="24"/>
      <c r="AI208" s="24"/>
    </row>
    <row r="209" spans="34:35">
      <c r="AH209" s="24"/>
      <c r="AI209" s="24"/>
    </row>
    <row r="210" spans="34:35">
      <c r="AH210" s="24"/>
      <c r="AI210" s="24"/>
    </row>
    <row r="211" spans="34:35">
      <c r="AH211" s="24"/>
      <c r="AI211" s="24"/>
    </row>
    <row r="212" spans="34:35">
      <c r="AH212" s="24"/>
      <c r="AI212" s="24"/>
    </row>
    <row r="213" spans="34:35">
      <c r="AH213" s="24"/>
      <c r="AI213" s="24"/>
    </row>
    <row r="214" spans="34:35">
      <c r="AH214" s="24"/>
      <c r="AI214" s="24"/>
    </row>
    <row r="215" spans="34:35">
      <c r="AH215" s="24"/>
      <c r="AI215" s="24"/>
    </row>
    <row r="216" spans="34:35">
      <c r="AH216" s="24"/>
      <c r="AI216" s="24"/>
    </row>
    <row r="217" spans="34:35">
      <c r="AH217" s="24"/>
      <c r="AI217" s="24"/>
    </row>
    <row r="218" spans="34:35">
      <c r="AH218" s="24"/>
      <c r="AI218" s="24"/>
    </row>
    <row r="219" spans="34:35">
      <c r="AH219" s="24"/>
      <c r="AI219" s="24"/>
    </row>
    <row r="220" spans="34:35">
      <c r="AH220" s="24"/>
      <c r="AI220" s="24"/>
    </row>
    <row r="221" spans="34:35">
      <c r="AH221" s="24"/>
      <c r="AI221" s="24"/>
    </row>
    <row r="222" spans="34:35">
      <c r="AH222" s="24"/>
      <c r="AI222" s="24"/>
    </row>
    <row r="223" spans="34:35">
      <c r="AH223" s="24"/>
      <c r="AI223" s="24"/>
    </row>
    <row r="224" spans="34:35">
      <c r="AH224" s="24"/>
      <c r="AI224" s="24"/>
    </row>
    <row r="225" spans="34:35">
      <c r="AH225" s="24"/>
      <c r="AI225" s="24"/>
    </row>
    <row r="226" spans="34:35">
      <c r="AH226" s="24"/>
      <c r="AI226" s="24"/>
    </row>
    <row r="227" spans="34:35">
      <c r="AH227" s="24"/>
      <c r="AI227" s="24"/>
    </row>
    <row r="228" spans="34:35">
      <c r="AH228" s="24"/>
      <c r="AI228" s="24"/>
    </row>
    <row r="229" spans="34:35">
      <c r="AH229" s="24"/>
      <c r="AI229" s="24"/>
    </row>
    <row r="230" spans="34:35">
      <c r="AH230" s="24"/>
      <c r="AI230" s="24"/>
    </row>
    <row r="231" spans="34:35">
      <c r="AH231" s="24"/>
      <c r="AI231" s="24"/>
    </row>
    <row r="232" spans="34:35">
      <c r="AH232" s="24"/>
      <c r="AI232" s="24"/>
    </row>
    <row r="233" spans="34:35">
      <c r="AH233" s="24"/>
      <c r="AI233" s="24"/>
    </row>
    <row r="234" spans="34:35">
      <c r="AH234" s="24"/>
      <c r="AI234" s="24"/>
    </row>
    <row r="235" spans="34:35">
      <c r="AH235" s="24"/>
      <c r="AI235" s="24"/>
    </row>
    <row r="236" spans="34:35">
      <c r="AH236" s="24"/>
      <c r="AI236" s="24"/>
    </row>
    <row r="237" spans="34:35">
      <c r="AH237" s="24"/>
      <c r="AI237" s="24"/>
    </row>
    <row r="238" spans="34:35">
      <c r="AH238" s="24"/>
      <c r="AI238" s="24"/>
    </row>
    <row r="239" spans="34:35">
      <c r="AH239" s="24"/>
      <c r="AI239" s="24"/>
    </row>
    <row r="240" spans="34:35">
      <c r="AH240" s="24"/>
      <c r="AI240" s="24"/>
    </row>
    <row r="241" spans="34:35">
      <c r="AH241" s="24"/>
      <c r="AI241" s="24"/>
    </row>
    <row r="242" spans="34:35">
      <c r="AH242" s="24"/>
      <c r="AI242" s="24"/>
    </row>
    <row r="243" spans="34:35">
      <c r="AH243" s="24"/>
      <c r="AI243" s="24"/>
    </row>
    <row r="244" spans="34:35">
      <c r="AH244" s="24"/>
      <c r="AI244" s="24"/>
    </row>
    <row r="245" spans="34:35">
      <c r="AH245" s="24"/>
      <c r="AI245" s="24"/>
    </row>
    <row r="246" spans="34:35">
      <c r="AH246" s="24"/>
      <c r="AI246" s="24"/>
    </row>
    <row r="247" spans="34:35">
      <c r="AH247" s="24"/>
      <c r="AI247" s="24"/>
    </row>
    <row r="248" spans="34:35">
      <c r="AH248" s="24"/>
      <c r="AI248" s="24"/>
    </row>
    <row r="249" spans="34:35">
      <c r="AH249" s="24"/>
      <c r="AI249" s="24"/>
    </row>
    <row r="250" spans="34:35">
      <c r="AH250" s="24"/>
      <c r="AI250" s="24"/>
    </row>
    <row r="251" spans="34:35">
      <c r="AH251" s="24"/>
      <c r="AI251" s="24"/>
    </row>
    <row r="252" spans="34:35">
      <c r="AH252" s="24"/>
      <c r="AI252" s="24"/>
    </row>
    <row r="253" spans="34:35">
      <c r="AH253" s="24"/>
      <c r="AI253" s="24"/>
    </row>
    <row r="254" spans="34:35">
      <c r="AH254" s="24"/>
      <c r="AI254" s="24"/>
    </row>
    <row r="255" spans="34:35">
      <c r="AH255" s="24"/>
      <c r="AI255" s="24"/>
    </row>
    <row r="256" spans="34:35">
      <c r="AH256" s="24"/>
      <c r="AI256" s="24"/>
    </row>
    <row r="257" spans="34:35">
      <c r="AH257" s="24"/>
      <c r="AI257" s="24"/>
    </row>
    <row r="258" spans="34:35">
      <c r="AH258" s="24"/>
      <c r="AI258" s="24"/>
    </row>
    <row r="259" spans="34:35">
      <c r="AH259" s="24"/>
      <c r="AI259" s="24"/>
    </row>
    <row r="260" spans="34:35">
      <c r="AH260" s="24"/>
      <c r="AI260" s="24"/>
    </row>
    <row r="261" spans="34:35">
      <c r="AH261" s="24"/>
      <c r="AI261" s="24"/>
    </row>
    <row r="262" spans="34:35">
      <c r="AH262" s="24"/>
      <c r="AI262" s="24"/>
    </row>
    <row r="263" spans="34:35">
      <c r="AH263" s="24"/>
      <c r="AI263" s="24"/>
    </row>
    <row r="264" spans="34:35">
      <c r="AH264" s="24"/>
      <c r="AI264" s="24"/>
    </row>
    <row r="265" spans="34:35">
      <c r="AH265" s="24"/>
      <c r="AI265" s="24"/>
    </row>
    <row r="266" spans="34:35">
      <c r="AH266" s="24"/>
      <c r="AI266" s="24"/>
    </row>
    <row r="267" spans="34:35">
      <c r="AH267" s="24"/>
      <c r="AI267" s="24"/>
    </row>
    <row r="268" spans="34:35">
      <c r="AH268" s="24"/>
      <c r="AI268" s="24"/>
    </row>
    <row r="269" spans="34:35">
      <c r="AH269" s="24"/>
      <c r="AI269" s="24"/>
    </row>
    <row r="270" spans="34:35">
      <c r="AH270" s="24"/>
      <c r="AI270" s="24"/>
    </row>
    <row r="271" spans="34:35">
      <c r="AH271" s="24"/>
      <c r="AI271" s="24"/>
    </row>
    <row r="272" spans="34:35">
      <c r="AH272" s="24"/>
      <c r="AI272" s="24"/>
    </row>
    <row r="273" spans="34:35">
      <c r="AH273" s="24"/>
      <c r="AI273" s="24"/>
    </row>
    <row r="274" spans="34:35">
      <c r="AH274" s="24"/>
      <c r="AI274" s="24"/>
    </row>
    <row r="275" spans="34:35">
      <c r="AH275" s="24"/>
      <c r="AI275" s="24"/>
    </row>
    <row r="276" spans="34:35">
      <c r="AH276" s="24"/>
      <c r="AI276" s="24"/>
    </row>
    <row r="277" spans="34:35">
      <c r="AH277" s="24"/>
      <c r="AI277" s="24"/>
    </row>
    <row r="278" spans="34:35">
      <c r="AH278" s="24"/>
      <c r="AI278" s="24"/>
    </row>
    <row r="279" spans="34:35">
      <c r="AH279" s="24"/>
      <c r="AI279" s="24"/>
    </row>
    <row r="280" spans="34:35">
      <c r="AH280" s="24"/>
      <c r="AI280" s="24"/>
    </row>
    <row r="281" spans="34:35">
      <c r="AH281" s="24"/>
      <c r="AI281" s="24"/>
    </row>
    <row r="282" spans="34:35">
      <c r="AH282" s="24"/>
      <c r="AI282" s="24"/>
    </row>
    <row r="283" spans="34:35">
      <c r="AH283" s="24"/>
      <c r="AI283" s="24"/>
    </row>
    <row r="284" spans="34:35">
      <c r="AH284" s="24"/>
      <c r="AI284" s="24"/>
    </row>
    <row r="285" spans="34:35">
      <c r="AH285" s="24"/>
      <c r="AI285" s="24"/>
    </row>
    <row r="286" spans="34:35">
      <c r="AH286" s="24"/>
      <c r="AI286" s="24"/>
    </row>
    <row r="287" spans="34:35">
      <c r="AH287" s="24"/>
      <c r="AI287" s="24"/>
    </row>
    <row r="288" spans="34:35">
      <c r="AH288" s="24"/>
      <c r="AI288" s="24"/>
    </row>
    <row r="289" spans="34:35">
      <c r="AH289" s="24"/>
      <c r="AI289" s="24"/>
    </row>
    <row r="290" spans="34:35">
      <c r="AH290" s="24"/>
      <c r="AI290" s="24"/>
    </row>
    <row r="291" spans="34:35">
      <c r="AH291" s="24"/>
      <c r="AI291" s="24"/>
    </row>
    <row r="292" spans="34:35">
      <c r="AH292" s="24"/>
      <c r="AI292" s="24"/>
    </row>
    <row r="293" spans="34:35">
      <c r="AH293" s="24"/>
      <c r="AI293" s="24"/>
    </row>
    <row r="294" spans="34:35">
      <c r="AH294" s="24"/>
      <c r="AI294" s="24"/>
    </row>
    <row r="295" spans="34:35">
      <c r="AH295" s="24"/>
      <c r="AI295" s="24"/>
    </row>
    <row r="296" spans="34:35">
      <c r="AH296" s="24"/>
      <c r="AI296" s="24"/>
    </row>
    <row r="297" spans="34:35">
      <c r="AH297" s="24"/>
      <c r="AI297" s="24"/>
    </row>
    <row r="298" spans="34:35">
      <c r="AH298" s="24"/>
      <c r="AI298" s="24"/>
    </row>
    <row r="299" spans="34:35">
      <c r="AH299" s="24"/>
      <c r="AI299" s="24"/>
    </row>
    <row r="300" spans="34:35">
      <c r="AH300" s="24"/>
      <c r="AI300" s="24"/>
    </row>
    <row r="301" spans="34:35">
      <c r="AH301" s="24"/>
      <c r="AI301" s="24"/>
    </row>
    <row r="302" spans="34:35">
      <c r="AH302" s="24"/>
      <c r="AI302" s="24"/>
    </row>
    <row r="303" spans="34:35">
      <c r="AH303" s="24"/>
      <c r="AI303" s="24"/>
    </row>
    <row r="304" spans="34:35">
      <c r="AH304" s="24"/>
      <c r="AI304" s="24"/>
    </row>
    <row r="305" spans="34:35">
      <c r="AH305" s="24"/>
      <c r="AI305" s="24"/>
    </row>
    <row r="306" spans="34:35">
      <c r="AH306" s="24"/>
      <c r="AI306" s="24"/>
    </row>
    <row r="307" spans="34:35">
      <c r="AH307" s="24"/>
      <c r="AI307" s="24"/>
    </row>
    <row r="308" spans="34:35">
      <c r="AH308" s="24"/>
      <c r="AI308" s="24"/>
    </row>
    <row r="309" spans="34:35">
      <c r="AH309" s="24"/>
      <c r="AI309" s="24"/>
    </row>
    <row r="310" spans="34:35">
      <c r="AH310" s="24"/>
      <c r="AI310" s="24"/>
    </row>
    <row r="311" spans="34:35">
      <c r="AH311" s="24"/>
      <c r="AI311" s="24"/>
    </row>
    <row r="312" spans="34:35">
      <c r="AH312" s="24"/>
      <c r="AI312" s="24"/>
    </row>
    <row r="313" spans="34:35">
      <c r="AH313" s="24"/>
      <c r="AI313" s="24"/>
    </row>
    <row r="314" spans="34:35">
      <c r="AH314" s="24"/>
      <c r="AI314" s="24"/>
    </row>
    <row r="315" spans="34:35">
      <c r="AH315" s="24"/>
      <c r="AI315" s="24"/>
    </row>
    <row r="316" spans="34:35">
      <c r="AH316" s="24"/>
      <c r="AI316" s="24"/>
    </row>
    <row r="317" spans="34:35">
      <c r="AH317" s="24"/>
      <c r="AI317" s="24"/>
    </row>
    <row r="318" spans="34:35">
      <c r="AH318" s="24"/>
      <c r="AI318" s="24"/>
    </row>
    <row r="319" spans="34:35">
      <c r="AH319" s="24"/>
      <c r="AI319" s="24"/>
    </row>
    <row r="320" spans="34:35">
      <c r="AH320" s="24"/>
      <c r="AI320" s="24"/>
    </row>
    <row r="321" spans="34:35">
      <c r="AH321" s="24"/>
      <c r="AI321" s="24"/>
    </row>
    <row r="322" spans="34:35">
      <c r="AH322" s="24"/>
      <c r="AI322" s="24"/>
    </row>
    <row r="323" spans="34:35">
      <c r="AH323" s="24"/>
      <c r="AI323" s="24"/>
    </row>
    <row r="324" spans="34:35">
      <c r="AH324" s="24"/>
      <c r="AI324" s="24"/>
    </row>
    <row r="325" spans="34:35">
      <c r="AH325" s="24"/>
      <c r="AI325" s="24"/>
    </row>
    <row r="326" spans="34:35">
      <c r="AH326" s="24"/>
      <c r="AI326" s="24"/>
    </row>
    <row r="327" spans="34:35">
      <c r="AH327" s="24"/>
      <c r="AI327" s="24"/>
    </row>
    <row r="328" spans="34:35">
      <c r="AH328" s="24"/>
      <c r="AI328" s="24"/>
    </row>
    <row r="329" spans="34:35">
      <c r="AH329" s="24"/>
      <c r="AI329" s="24"/>
    </row>
    <row r="330" spans="34:35">
      <c r="AH330" s="24"/>
      <c r="AI330" s="24"/>
    </row>
    <row r="331" spans="34:35">
      <c r="AH331" s="24"/>
      <c r="AI331" s="24"/>
    </row>
    <row r="332" spans="34:35">
      <c r="AH332" s="24"/>
      <c r="AI332" s="24"/>
    </row>
    <row r="333" spans="34:35">
      <c r="AH333" s="24"/>
      <c r="AI333" s="24"/>
    </row>
    <row r="334" spans="34:35">
      <c r="AH334" s="24"/>
      <c r="AI334" s="24"/>
    </row>
    <row r="335" spans="34:35">
      <c r="AH335" s="24"/>
      <c r="AI335" s="24"/>
    </row>
    <row r="336" spans="34:35">
      <c r="AH336" s="24"/>
      <c r="AI336" s="24"/>
    </row>
    <row r="337" spans="34:35">
      <c r="AH337" s="24"/>
      <c r="AI337" s="24"/>
    </row>
    <row r="338" spans="34:35">
      <c r="AH338" s="24"/>
      <c r="AI338" s="24"/>
    </row>
  </sheetData>
  <mergeCells count="155">
    <mergeCell ref="AK56:AK66"/>
    <mergeCell ref="AJ49:AN49"/>
    <mergeCell ref="T56:T66"/>
    <mergeCell ref="AC56:AC66"/>
    <mergeCell ref="S56:S66"/>
    <mergeCell ref="AB36:AB45"/>
    <mergeCell ref="J3:S3"/>
    <mergeCell ref="P36:P45"/>
    <mergeCell ref="H36:H45"/>
    <mergeCell ref="I36:I45"/>
    <mergeCell ref="H56:H66"/>
    <mergeCell ref="J17:Q17"/>
    <mergeCell ref="AI3:AO3"/>
    <mergeCell ref="AI17:AN17"/>
    <mergeCell ref="C4:AH4"/>
    <mergeCell ref="J5:Q5"/>
    <mergeCell ref="AC5:AE5"/>
    <mergeCell ref="Y5:Z5"/>
    <mergeCell ref="R5:S5"/>
    <mergeCell ref="T5:X5"/>
    <mergeCell ref="AF5:AG5"/>
    <mergeCell ref="R17:S17"/>
    <mergeCell ref="D25:E25"/>
    <mergeCell ref="AF17:AG17"/>
    <mergeCell ref="F56:F66"/>
    <mergeCell ref="W36:W45"/>
    <mergeCell ref="M36:M45"/>
    <mergeCell ref="K36:K45"/>
    <mergeCell ref="T36:T45"/>
    <mergeCell ref="U36:U45"/>
    <mergeCell ref="N36:N45"/>
    <mergeCell ref="J36:J45"/>
    <mergeCell ref="C28:AG28"/>
    <mergeCell ref="L36:L45"/>
    <mergeCell ref="S36:S45"/>
    <mergeCell ref="R29:S29"/>
    <mergeCell ref="AF29:AG29"/>
    <mergeCell ref="D49:I49"/>
    <mergeCell ref="T49:X49"/>
    <mergeCell ref="G36:G45"/>
    <mergeCell ref="AC36:AC45"/>
    <mergeCell ref="Z36:Z45"/>
    <mergeCell ref="AC29:AE29"/>
    <mergeCell ref="Y29:Z29"/>
    <mergeCell ref="T29:X29"/>
    <mergeCell ref="O36:O45"/>
    <mergeCell ref="J29:Q29"/>
    <mergeCell ref="J49:Q49"/>
    <mergeCell ref="AC17:AE17"/>
    <mergeCell ref="Y17:Z17"/>
    <mergeCell ref="T17:X17"/>
    <mergeCell ref="R81:S81"/>
    <mergeCell ref="J70:Q70"/>
    <mergeCell ref="AQ56:AQ66"/>
    <mergeCell ref="AK36:AK45"/>
    <mergeCell ref="AP36:AP46"/>
    <mergeCell ref="AD36:AD45"/>
    <mergeCell ref="AH36:AH45"/>
    <mergeCell ref="AJ36:AJ45"/>
    <mergeCell ref="AN36:AN46"/>
    <mergeCell ref="AG36:AG45"/>
    <mergeCell ref="AF49:AG49"/>
    <mergeCell ref="AG56:AG66"/>
    <mergeCell ref="AD56:AD66"/>
    <mergeCell ref="AQ36:AQ45"/>
    <mergeCell ref="AN56:AN66"/>
    <mergeCell ref="AL36:AL45"/>
    <mergeCell ref="AC49:AE49"/>
    <mergeCell ref="C48:AH48"/>
    <mergeCell ref="Y49:Z49"/>
    <mergeCell ref="C36:C45"/>
    <mergeCell ref="F36:F45"/>
    <mergeCell ref="V36:V45"/>
    <mergeCell ref="R49:S49"/>
    <mergeCell ref="AJ114:AN114"/>
    <mergeCell ref="D110:E110"/>
    <mergeCell ref="C102:AH102"/>
    <mergeCell ref="D103:I103"/>
    <mergeCell ref="J103:Q103"/>
    <mergeCell ref="R103:S103"/>
    <mergeCell ref="T103:X103"/>
    <mergeCell ref="Y103:Z103"/>
    <mergeCell ref="AJ56:AJ66"/>
    <mergeCell ref="AF92:AG92"/>
    <mergeCell ref="AJ92:AN92"/>
    <mergeCell ref="Y92:Z92"/>
    <mergeCell ref="Y70:Z70"/>
    <mergeCell ref="D70:I70"/>
    <mergeCell ref="W56:W66"/>
    <mergeCell ref="C91:AH91"/>
    <mergeCell ref="AF81:AG81"/>
    <mergeCell ref="AH56:AH66"/>
    <mergeCell ref="AJ81:AN81"/>
    <mergeCell ref="T81:X81"/>
    <mergeCell ref="AL56:AL65"/>
    <mergeCell ref="D81:I81"/>
    <mergeCell ref="C69:AH69"/>
    <mergeCell ref="AC70:AE70"/>
    <mergeCell ref="D122:E122"/>
    <mergeCell ref="C113:AH113"/>
    <mergeCell ref="D114:I114"/>
    <mergeCell ref="J114:Q114"/>
    <mergeCell ref="R114:S114"/>
    <mergeCell ref="T114:X114"/>
    <mergeCell ref="Y114:Z114"/>
    <mergeCell ref="AC114:AE114"/>
    <mergeCell ref="AF114:AG114"/>
    <mergeCell ref="A1:A2"/>
    <mergeCell ref="B1:B2"/>
    <mergeCell ref="B3:C3"/>
    <mergeCell ref="D3:I3"/>
    <mergeCell ref="D17:I17"/>
    <mergeCell ref="AC103:AE103"/>
    <mergeCell ref="AF103:AG103"/>
    <mergeCell ref="C1:AO1"/>
    <mergeCell ref="AJ5:AN5"/>
    <mergeCell ref="D5:I5"/>
    <mergeCell ref="D13:E13"/>
    <mergeCell ref="C16:AH16"/>
    <mergeCell ref="D29:I29"/>
    <mergeCell ref="C56:C64"/>
    <mergeCell ref="D77:E77"/>
    <mergeCell ref="D56:E66"/>
    <mergeCell ref="V56:V66"/>
    <mergeCell ref="R70:S70"/>
    <mergeCell ref="G56:G66"/>
    <mergeCell ref="I56:I66"/>
    <mergeCell ref="J56:J66"/>
    <mergeCell ref="P56:P66"/>
    <mergeCell ref="M56:M66"/>
    <mergeCell ref="N56:N66"/>
    <mergeCell ref="AJ103:AN103"/>
    <mergeCell ref="AJ29:AN29"/>
    <mergeCell ref="AJ70:AN70"/>
    <mergeCell ref="Y81:Z81"/>
    <mergeCell ref="T70:X70"/>
    <mergeCell ref="AF70:AG70"/>
    <mergeCell ref="R92:S92"/>
    <mergeCell ref="T92:X92"/>
    <mergeCell ref="D99:E99"/>
    <mergeCell ref="J92:Q92"/>
    <mergeCell ref="D92:I92"/>
    <mergeCell ref="AC92:AE92"/>
    <mergeCell ref="D88:E88"/>
    <mergeCell ref="J81:Q81"/>
    <mergeCell ref="D36:E45"/>
    <mergeCell ref="Z56:Z66"/>
    <mergeCell ref="O56:O66"/>
    <mergeCell ref="AA57:AA66"/>
    <mergeCell ref="AB56:AB66"/>
    <mergeCell ref="L56:L66"/>
    <mergeCell ref="K56:K66"/>
    <mergeCell ref="AC81:AE81"/>
    <mergeCell ref="U56:U66"/>
    <mergeCell ref="C80:AH80"/>
  </mergeCells>
  <phoneticPr fontId="54"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G1" zoomScale="175" zoomScaleNormal="175" zoomScalePageLayoutView="175" workbookViewId="0">
      <selection activeCell="S30" sqref="S30"/>
    </sheetView>
  </sheetViews>
  <sheetFormatPr baseColWidth="10" defaultColWidth="11" defaultRowHeight="16"/>
  <sheetData/>
  <phoneticPr fontId="54" type="noConversion"/>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11" defaultRowHeight="16"/>
  <sheetData/>
  <phoneticPr fontId="54" type="noConversion"/>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E1:V1"/>
  <sheetViews>
    <sheetView zoomScale="150" zoomScaleNormal="150" zoomScalePageLayoutView="150" workbookViewId="0">
      <selection activeCell="H36" sqref="H36"/>
    </sheetView>
  </sheetViews>
  <sheetFormatPr baseColWidth="10" defaultColWidth="11" defaultRowHeight="16"/>
  <cols>
    <col min="5" max="5" width="11" style="2"/>
    <col min="17" max="17" width="11" style="1"/>
    <col min="22" max="22" width="11" style="18"/>
  </cols>
  <sheetData/>
  <phoneticPr fontId="54" type="noConversion"/>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M1:N1"/>
  <sheetViews>
    <sheetView topLeftCell="F2" zoomScale="200" zoomScaleNormal="200" zoomScalePageLayoutView="200" workbookViewId="0">
      <selection activeCell="L28" sqref="L28"/>
    </sheetView>
  </sheetViews>
  <sheetFormatPr baseColWidth="10" defaultColWidth="10.83203125" defaultRowHeight="16"/>
  <cols>
    <col min="1" max="12" width="10.83203125" style="15"/>
    <col min="13" max="13" width="10.83203125" style="21"/>
    <col min="14" max="14" width="10.83203125" style="22"/>
    <col min="15" max="16384" width="10.83203125" style="15"/>
  </cols>
  <sheetData/>
  <phoneticPr fontId="54" type="noConversion"/>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11" zoomScale="200" zoomScaleNormal="200" zoomScalePageLayoutView="200" workbookViewId="0">
      <selection activeCell="A11" sqref="A1:IV65536"/>
    </sheetView>
  </sheetViews>
  <sheetFormatPr baseColWidth="10" defaultColWidth="11" defaultRowHeight="16"/>
  <sheetData/>
  <phoneticPr fontId="54" type="noConversion"/>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M1:R1"/>
  <sheetViews>
    <sheetView topLeftCell="F1" zoomScale="200" zoomScaleNormal="200" zoomScalePageLayoutView="200" workbookViewId="0">
      <selection activeCell="K29" sqref="K29"/>
    </sheetView>
  </sheetViews>
  <sheetFormatPr baseColWidth="10" defaultColWidth="11" defaultRowHeight="16"/>
  <cols>
    <col min="13" max="13" width="11" style="23"/>
    <col min="14" max="14" width="11" style="24"/>
    <col min="17" max="18" width="11" style="6"/>
  </cols>
  <sheetData/>
  <phoneticPr fontId="54"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RT Intra-Regional Travel</vt:lpstr>
      <vt:lpstr>RT Travel Adjacent Regions</vt:lpstr>
      <vt:lpstr>RT Travel NonAdjacent Regions</vt:lpstr>
      <vt:lpstr>Sheet</vt:lpstr>
      <vt:lpstr>Sheet1</vt:lpstr>
      <vt:lpstr>Sheet 3</vt:lpstr>
      <vt:lpstr>Sheet 5</vt:lpstr>
      <vt:lpstr>Sheet 6</vt:lpstr>
      <vt:lpstr>Sheet 4</vt:lpstr>
      <vt:lpstr>RT Travel Other Regions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Grindley</dc:creator>
  <cp:lastModifiedBy>Microsoft Office User</cp:lastModifiedBy>
  <cp:lastPrinted>2017-08-06T05:35:00Z</cp:lastPrinted>
  <dcterms:created xsi:type="dcterms:W3CDTF">2017-05-11T17:37:16Z</dcterms:created>
  <dcterms:modified xsi:type="dcterms:W3CDTF">2019-01-05T01:02:31Z</dcterms:modified>
</cp:coreProperties>
</file>